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s.chistyakov\Desktop\Новая папка (3)\"/>
    </mc:Choice>
  </mc:AlternateContent>
  <bookViews>
    <workbookView xWindow="0" yWindow="0" windowWidth="20730" windowHeight="9735" tabRatio="487"/>
  </bookViews>
  <sheets>
    <sheet name="МКД" sheetId="23" r:id="rId1"/>
  </sheets>
  <definedNames>
    <definedName name="_xlnm._FilterDatabase" localSheetId="0" hidden="1">МКД!$A$4:$J$2402</definedName>
    <definedName name="_xlnm.Print_Titles" localSheetId="0">МКД!$1:$4</definedName>
    <definedName name="_xlnm.Print_Area" localSheetId="0">МКД!$A$1:$J$2408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05" i="23" l="1"/>
  <c r="J1722" i="23" l="1"/>
  <c r="J1337" i="23" l="1"/>
  <c r="J239" i="23"/>
  <c r="J902" i="23" l="1"/>
  <c r="J1721" i="23" l="1"/>
  <c r="J79" i="23" l="1"/>
  <c r="J51" i="23"/>
  <c r="J25" i="23" l="1"/>
  <c r="J1067" i="23" l="1"/>
  <c r="J2303" i="23" l="1"/>
  <c r="J801" i="23" l="1"/>
  <c r="J705" i="23"/>
  <c r="J134" i="23" l="1"/>
  <c r="J1003" i="23"/>
  <c r="J1584" i="23" l="1"/>
  <c r="J606" i="23" l="1"/>
  <c r="J1777" i="23"/>
  <c r="J1369" i="23"/>
  <c r="J1120" i="23" l="1"/>
  <c r="J1115" i="23"/>
  <c r="J316" i="23"/>
  <c r="J1005" i="23" l="1"/>
  <c r="J2185" i="23" l="1"/>
  <c r="J671" i="23"/>
  <c r="J1448" i="23" l="1"/>
  <c r="J1428" i="23"/>
  <c r="J1410" i="23"/>
  <c r="J746" i="23" l="1"/>
  <c r="J714" i="23"/>
  <c r="J754" i="23"/>
  <c r="J738" i="23"/>
  <c r="J723" i="23"/>
  <c r="J831" i="23"/>
  <c r="J821" i="23"/>
  <c r="J811" i="23"/>
  <c r="J881" i="23"/>
  <c r="J855" i="23"/>
  <c r="J847" i="23"/>
  <c r="J839" i="23"/>
  <c r="J873" i="23"/>
  <c r="J864" i="23"/>
  <c r="J576" i="23" l="1"/>
  <c r="G2303" i="23" l="1"/>
  <c r="J1907" i="23" l="1"/>
  <c r="J939" i="23" l="1"/>
  <c r="J947" i="23"/>
  <c r="J222" i="23" l="1"/>
  <c r="J508" i="23"/>
  <c r="J697" i="23"/>
  <c r="G2205" i="23" l="1"/>
  <c r="D2205" i="23"/>
  <c r="D2005" i="23" l="1"/>
  <c r="D1936" i="23" l="1"/>
  <c r="G134" i="23" l="1"/>
  <c r="J925" i="23" l="1"/>
  <c r="J975" i="23"/>
  <c r="J1997" i="23" l="1"/>
  <c r="J1992" i="23"/>
  <c r="J1984" i="23"/>
  <c r="J1981" i="23"/>
  <c r="J1968" i="23"/>
  <c r="J1958" i="23"/>
  <c r="J777" i="23" l="1"/>
  <c r="J2104" i="23" l="1"/>
  <c r="J2263" i="23"/>
  <c r="J2243" i="23"/>
  <c r="J2236" i="23"/>
  <c r="J2232" i="23"/>
  <c r="J2005" i="23" l="1"/>
  <c r="J1924" i="23"/>
  <c r="J2259" i="23" l="1"/>
  <c r="J605" i="23" l="1"/>
  <c r="G919" i="23" l="1"/>
  <c r="G922" i="23"/>
  <c r="G925" i="23"/>
  <c r="G932" i="23"/>
  <c r="G940" i="23"/>
  <c r="G948" i="23"/>
  <c r="G955" i="23"/>
  <c r="G963" i="23"/>
  <c r="G966" i="23"/>
  <c r="G972" i="23"/>
  <c r="G975" i="23"/>
  <c r="G983" i="23"/>
  <c r="G989" i="23"/>
  <c r="G995" i="23"/>
  <c r="G1002" i="23"/>
  <c r="G1004" i="23"/>
  <c r="G1005" i="23"/>
  <c r="G777" i="23"/>
  <c r="G655" i="23"/>
  <c r="G332" i="23"/>
  <c r="G335" i="23"/>
  <c r="G339" i="23"/>
  <c r="G347" i="23"/>
  <c r="G363" i="23"/>
  <c r="G376" i="23"/>
  <c r="G379" i="23"/>
  <c r="G383" i="23"/>
  <c r="G386" i="23"/>
  <c r="G389" i="23"/>
  <c r="G392" i="23"/>
  <c r="G396" i="23"/>
  <c r="G408" i="23"/>
  <c r="G456" i="23"/>
  <c r="G469" i="23"/>
  <c r="G478" i="23"/>
  <c r="G482" i="23"/>
  <c r="G490" i="23"/>
  <c r="G494" i="23"/>
  <c r="G501" i="23"/>
  <c r="G504" i="23"/>
  <c r="G508" i="23"/>
  <c r="G115" i="23"/>
  <c r="G109" i="23"/>
  <c r="G103" i="23"/>
  <c r="G100" i="23"/>
  <c r="G97" i="23"/>
  <c r="G91" i="23"/>
  <c r="G85" i="23"/>
  <c r="G76" i="23"/>
  <c r="G45" i="23"/>
  <c r="G40" i="23"/>
  <c r="G37" i="23"/>
  <c r="G34" i="23"/>
  <c r="G31" i="23"/>
  <c r="G28" i="23"/>
  <c r="G25" i="23"/>
  <c r="G19" i="23"/>
  <c r="G14" i="23"/>
  <c r="G11" i="23"/>
  <c r="G121" i="23"/>
  <c r="G127" i="23"/>
  <c r="G133" i="23"/>
  <c r="J1040" i="23" l="1"/>
  <c r="J1043" i="23"/>
  <c r="J1047" i="23"/>
  <c r="J1051" i="23"/>
  <c r="J1054" i="23"/>
  <c r="J1060" i="23"/>
  <c r="J1063" i="23"/>
  <c r="J1066" i="23"/>
  <c r="J963" i="23" l="1"/>
  <c r="J452" i="23"/>
  <c r="J2249" i="23" l="1"/>
  <c r="J1918" i="23"/>
  <c r="J2239" i="23" l="1"/>
  <c r="G1067" i="23" l="1"/>
  <c r="G671" i="23"/>
  <c r="G606" i="23"/>
  <c r="G1584" i="23" l="1"/>
  <c r="G1722" i="23" l="1"/>
  <c r="G576" i="23" l="1"/>
  <c r="G1777" i="23" l="1"/>
  <c r="G1337" i="23"/>
  <c r="G902" i="23"/>
  <c r="G316" i="23"/>
  <c r="G222" i="23"/>
  <c r="G697" i="23"/>
  <c r="G1448" i="23" l="1"/>
  <c r="G1721" i="23" l="1"/>
  <c r="J2035" i="23" l="1"/>
  <c r="G2035" i="23"/>
  <c r="D2035" i="23"/>
  <c r="D2155" i="23"/>
  <c r="G2155" i="23"/>
  <c r="J2155" i="23"/>
  <c r="E603" i="23" l="1"/>
  <c r="F603" i="23"/>
  <c r="G603" i="23"/>
  <c r="H603" i="23"/>
  <c r="I603" i="23"/>
  <c r="J603" i="23"/>
  <c r="D603" i="23"/>
  <c r="J2272" i="23" l="1"/>
  <c r="J2280" i="23"/>
  <c r="J2019" i="23"/>
  <c r="J2121" i="23"/>
  <c r="J2290" i="23"/>
  <c r="J2086" i="23" l="1"/>
  <c r="J2080" i="23"/>
  <c r="J2077" i="23"/>
  <c r="J2022" i="23"/>
  <c r="J2064" i="23"/>
  <c r="J2061" i="23"/>
  <c r="J2058" i="23"/>
  <c r="J2052" i="23"/>
  <c r="J2048" i="23"/>
  <c r="J2041" i="23"/>
  <c r="J2038" i="23"/>
  <c r="J2033" i="23"/>
  <c r="J2029" i="23"/>
  <c r="J1891" i="23"/>
  <c r="J2067" i="23"/>
  <c r="J1900" i="23"/>
  <c r="J2255" i="23"/>
  <c r="J2252" i="23"/>
  <c r="J2184" i="23"/>
  <c r="J2025" i="23"/>
  <c r="J2011" i="23"/>
  <c r="J218" i="23"/>
  <c r="J2117" i="23" l="1"/>
  <c r="J2293" i="23"/>
  <c r="J2296" i="23"/>
  <c r="J655" i="23" l="1"/>
  <c r="J2210" i="23"/>
  <c r="J2193" i="23"/>
  <c r="D2098" i="23" l="1"/>
  <c r="D2117" i="23"/>
  <c r="D2146" i="23"/>
  <c r="D2153" i="23"/>
  <c r="D1836" i="23"/>
  <c r="D1832" i="23"/>
  <c r="D1811" i="23"/>
  <c r="D1807" i="23"/>
  <c r="D1804" i="23"/>
  <c r="D1801" i="23"/>
  <c r="D1797" i="23"/>
  <c r="D2283" i="23"/>
  <c r="D2287" i="23"/>
  <c r="D2290" i="23"/>
  <c r="D2293" i="23"/>
  <c r="D2296" i="23"/>
  <c r="D1793" i="23"/>
  <c r="D1790" i="23"/>
  <c r="D2280" i="23"/>
  <c r="D2272" i="23"/>
  <c r="D2266" i="23"/>
  <c r="D2263" i="23"/>
  <c r="D2259" i="23"/>
  <c r="D2243" i="23"/>
  <c r="D2239" i="23"/>
  <c r="D2236" i="23"/>
  <c r="D2232" i="23"/>
  <c r="D2222" i="23"/>
  <c r="D2219" i="23"/>
  <c r="D2216" i="23"/>
  <c r="D2210" i="23"/>
  <c r="D2203" i="23"/>
  <c r="D2197" i="23"/>
  <c r="D2193" i="23"/>
  <c r="D2187" i="23"/>
  <c r="D2184" i="23"/>
  <c r="D2181" i="23"/>
  <c r="D2172" i="23"/>
  <c r="D2168" i="23"/>
  <c r="D2150" i="23"/>
  <c r="D2128" i="23"/>
  <c r="D2121" i="23"/>
  <c r="D2108" i="23"/>
  <c r="D2104" i="23"/>
  <c r="D2095" i="23"/>
  <c r="D2092" i="23"/>
  <c r="D2089" i="23"/>
  <c r="D2083" i="23"/>
  <c r="D2073" i="23"/>
  <c r="D2077" i="23"/>
  <c r="D2069" i="23"/>
  <c r="D2067" i="23"/>
  <c r="D2064" i="23"/>
  <c r="D2061" i="23"/>
  <c r="D2058" i="23"/>
  <c r="D2052" i="23"/>
  <c r="D2048" i="23"/>
  <c r="D2041" i="23"/>
  <c r="D2038" i="23"/>
  <c r="D2029" i="23"/>
  <c r="D2033" i="23"/>
  <c r="D2025" i="23"/>
  <c r="D2022" i="23"/>
  <c r="D2019" i="23"/>
  <c r="D2011" i="23"/>
  <c r="D2008" i="23"/>
  <c r="D1997" i="23"/>
  <c r="D1992" i="23"/>
  <c r="D1981" i="23"/>
  <c r="D1968" i="23"/>
  <c r="D1958" i="23"/>
  <c r="D1954" i="23"/>
  <c r="D1950" i="23"/>
  <c r="D1946" i="23"/>
  <c r="D1940" i="23"/>
  <c r="D1918" i="23"/>
  <c r="D1914" i="23"/>
  <c r="D1907" i="23"/>
  <c r="D1903" i="23"/>
  <c r="D1900" i="23"/>
  <c r="D1891" i="23"/>
  <c r="D1887" i="23"/>
  <c r="D1883" i="23"/>
  <c r="D1880" i="23"/>
  <c r="D1877" i="23"/>
  <c r="D1874" i="23"/>
  <c r="D1871" i="23"/>
  <c r="D1851" i="23"/>
  <c r="D1839" i="23"/>
  <c r="D1772" i="23"/>
  <c r="D1776" i="23"/>
  <c r="D1766" i="23"/>
  <c r="D1762" i="23"/>
  <c r="D1758" i="23"/>
  <c r="D1752" i="23"/>
  <c r="D1747" i="23"/>
  <c r="D1741" i="23"/>
  <c r="D1721" i="23"/>
  <c r="D1581" i="23"/>
  <c r="J1583" i="23"/>
  <c r="G1583" i="23"/>
  <c r="D1583" i="23"/>
  <c r="D1321" i="23"/>
  <c r="D1251" i="23"/>
  <c r="D1247" i="23"/>
  <c r="D1240" i="23"/>
  <c r="D1236" i="23"/>
  <c r="D1232" i="23"/>
  <c r="D1218" i="23"/>
  <c r="D1214" i="23"/>
  <c r="D1210" i="23"/>
  <c r="D1206" i="23"/>
  <c r="D1193" i="23"/>
  <c r="D1186" i="23"/>
  <c r="D1117" i="23"/>
  <c r="D1167" i="23"/>
  <c r="D1164" i="23"/>
  <c r="D1161" i="23"/>
  <c r="D1158" i="23"/>
  <c r="D1155" i="23"/>
  <c r="D1150" i="23"/>
  <c r="D1147" i="23"/>
  <c r="D1142" i="23"/>
  <c r="D1139" i="23"/>
  <c r="D1136" i="23"/>
  <c r="D1133" i="23"/>
  <c r="D1130" i="23"/>
  <c r="D1127" i="23"/>
  <c r="D1122" i="23"/>
  <c r="D1106" i="23"/>
  <c r="D1103" i="23"/>
  <c r="D1100" i="23"/>
  <c r="D1097" i="23"/>
  <c r="D1094" i="23"/>
  <c r="D1091" i="23"/>
  <c r="D1086" i="23"/>
  <c r="D1057" i="23" l="1"/>
  <c r="D1047" i="23"/>
  <c r="D777" i="23" l="1"/>
  <c r="D655" i="23" l="1"/>
  <c r="D605" i="23" l="1"/>
  <c r="D528" i="23"/>
  <c r="D359" i="23"/>
  <c r="D410" i="23"/>
  <c r="D432" i="23"/>
  <c r="D434" i="23"/>
  <c r="D439" i="23"/>
  <c r="D463" i="23"/>
  <c r="D490" i="23"/>
  <c r="D497" i="23"/>
  <c r="D301" i="23" l="1"/>
  <c r="D218" i="23" l="1"/>
  <c r="J85" i="23" l="1"/>
  <c r="J91" i="23"/>
  <c r="J45" i="23" l="1"/>
  <c r="J59" i="23"/>
  <c r="J97" i="23"/>
  <c r="G239" i="23" l="1"/>
  <c r="G241" i="23" s="1"/>
  <c r="G2068" i="23"/>
  <c r="G2069" i="23" s="1"/>
  <c r="D91" i="23" l="1"/>
  <c r="D45" i="23" l="1"/>
  <c r="J2197" i="23" l="1"/>
  <c r="J2302" i="23"/>
  <c r="J2203" i="23"/>
  <c r="J1002" i="23"/>
  <c r="J2164" i="23" l="1"/>
  <c r="J601" i="23"/>
  <c r="J597" i="23"/>
  <c r="J593" i="23"/>
  <c r="J589" i="23"/>
  <c r="J586" i="23"/>
  <c r="J612" i="23" l="1"/>
  <c r="J2089" i="23" l="1"/>
  <c r="J1921" i="23"/>
  <c r="J1903" i="23"/>
  <c r="J2172" i="23" l="1"/>
  <c r="J2168" i="23"/>
  <c r="J2161" i="23"/>
  <c r="J2158" i="23"/>
  <c r="J2153" i="23"/>
  <c r="J2146" i="23"/>
  <c r="J2128" i="23"/>
  <c r="J2108" i="23"/>
  <c r="J2098" i="23"/>
  <c r="J2095" i="23"/>
  <c r="J2092" i="23"/>
  <c r="J1954" i="23"/>
  <c r="J1950" i="23"/>
  <c r="J1946" i="23"/>
  <c r="J1940" i="23"/>
  <c r="J1936" i="23"/>
  <c r="J1914" i="23"/>
  <c r="J1894" i="23"/>
  <c r="J1887" i="23"/>
  <c r="J1877" i="23"/>
  <c r="J1874" i="23"/>
  <c r="J2181" i="23"/>
  <c r="J2083" i="23"/>
  <c r="J1871" i="23"/>
  <c r="J1851" i="23"/>
  <c r="J1836" i="23"/>
  <c r="J1832" i="23"/>
  <c r="J1820" i="23"/>
  <c r="J1804" i="23"/>
  <c r="J1801" i="23"/>
  <c r="J1797" i="23"/>
  <c r="J1848" i="23"/>
  <c r="J1839" i="23"/>
  <c r="J769" i="23" l="1"/>
  <c r="G769" i="23"/>
  <c r="D769" i="23"/>
  <c r="J763" i="23"/>
  <c r="G763" i="23"/>
  <c r="D763" i="23"/>
  <c r="J2219" i="23" l="1"/>
  <c r="J2266" i="23"/>
  <c r="G218" i="23" l="1"/>
  <c r="J1883" i="23" l="1"/>
  <c r="J871" i="23"/>
  <c r="J1826" i="23" l="1"/>
  <c r="J2228" i="23" l="1"/>
  <c r="J2225" i="23"/>
  <c r="J2283" i="23" l="1"/>
  <c r="J2187" i="23"/>
  <c r="J1977" i="23" l="1"/>
  <c r="J1974" i="23"/>
  <c r="J1880" i="23"/>
  <c r="J2222" i="23" l="1"/>
  <c r="J2000" i="23"/>
  <c r="J1868" i="23" l="1"/>
  <c r="J1971" i="23"/>
  <c r="J2140" i="23" l="1"/>
  <c r="J2137" i="23"/>
  <c r="J1910" i="23"/>
  <c r="J2008" i="23"/>
  <c r="J1637" i="23"/>
  <c r="J1610" i="23"/>
  <c r="J1613" i="23"/>
  <c r="J1620" i="23"/>
  <c r="J1623" i="23"/>
  <c r="J1640" i="23"/>
  <c r="J1649" i="23"/>
  <c r="J1675" i="23"/>
  <c r="J1686" i="23"/>
  <c r="J1697" i="23"/>
  <c r="J1702" i="23"/>
  <c r="J1706" i="23"/>
  <c r="J1710" i="23"/>
  <c r="J1632" i="23"/>
  <c r="J1635" i="23"/>
  <c r="J1652" i="23"/>
  <c r="J1667" i="23"/>
  <c r="J1670" i="23"/>
  <c r="J1678" i="23"/>
  <c r="J1681" i="23"/>
  <c r="J1689" i="23"/>
  <c r="J1692" i="23"/>
  <c r="J1716" i="23"/>
  <c r="J1713" i="23"/>
  <c r="J1626" i="23"/>
  <c r="J1629" i="23"/>
  <c r="J1646" i="23"/>
  <c r="J1655" i="23"/>
  <c r="J1733" i="23" l="1"/>
  <c r="J1776" i="23"/>
  <c r="J1772" i="23"/>
  <c r="J1766" i="23"/>
  <c r="J1762" i="23"/>
  <c r="J1758" i="23"/>
  <c r="J1752" i="23"/>
  <c r="J1747" i="23"/>
  <c r="J1741" i="23"/>
  <c r="J1057" i="23"/>
  <c r="J1037" i="23"/>
  <c r="J1034" i="23"/>
  <c r="J1031" i="23"/>
  <c r="J1026" i="23"/>
  <c r="J1022" i="23"/>
  <c r="J1018" i="23"/>
  <c r="J575" i="23"/>
  <c r="J571" i="23"/>
  <c r="J567" i="23"/>
  <c r="J556" i="23"/>
  <c r="J563" i="23"/>
  <c r="J549" i="23"/>
  <c r="J542" i="23"/>
  <c r="J535" i="23"/>
  <c r="J528" i="23"/>
  <c r="J582" i="23" l="1"/>
  <c r="J1076" i="23"/>
  <c r="J1786" i="23"/>
  <c r="G1018" i="23"/>
  <c r="J2246" i="23" l="1"/>
  <c r="J2150" i="23"/>
  <c r="J1854" i="23" l="1"/>
  <c r="J1403" i="23" l="1"/>
  <c r="J2134" i="23" l="1"/>
  <c r="J1829" i="23"/>
  <c r="J1823" i="23"/>
  <c r="J1817" i="23"/>
  <c r="J1814" i="23"/>
  <c r="J1793" i="23"/>
  <c r="J1790" i="23"/>
  <c r="J1447" i="23" l="1"/>
  <c r="J1431" i="23"/>
  <c r="J1421" i="23"/>
  <c r="J1413" i="23"/>
  <c r="J1362" i="23"/>
  <c r="J1359" i="23"/>
  <c r="J1356" i="23"/>
  <c r="J1353" i="23"/>
  <c r="J1350" i="23"/>
  <c r="J2178" i="23" l="1"/>
  <c r="J2175" i="23"/>
  <c r="J966" i="23"/>
  <c r="J922" i="23"/>
  <c r="J919" i="23"/>
  <c r="J2055" i="23" l="1"/>
  <c r="J1964" i="23"/>
  <c r="J1961" i="23"/>
  <c r="G1227" i="23" l="1"/>
  <c r="J1807" i="23" l="1"/>
  <c r="J1336" i="23"/>
  <c r="J1321" i="23"/>
  <c r="J1314" i="23"/>
  <c r="J1311" i="23"/>
  <c r="J1308" i="23"/>
  <c r="J1286" i="23"/>
  <c r="J1283" i="23"/>
  <c r="J1280" i="23"/>
  <c r="J1277" i="23"/>
  <c r="J1266" i="23"/>
  <c r="J1263" i="23"/>
  <c r="J273" i="23"/>
  <c r="J216" i="23" l="1"/>
  <c r="J183" i="23"/>
  <c r="G1558" i="23"/>
  <c r="J1987" i="23" l="1"/>
  <c r="J1933" i="23"/>
  <c r="J1865" i="23"/>
  <c r="J1507" i="23"/>
  <c r="J1515" i="23"/>
  <c r="J1254" i="23"/>
  <c r="J1247" i="23"/>
  <c r="J2287" i="23"/>
  <c r="J2131" i="23"/>
  <c r="J2114" i="23"/>
  <c r="J2111" i="23"/>
  <c r="J1930" i="23"/>
  <c r="J1927" i="23"/>
  <c r="J1857" i="23"/>
  <c r="J892" i="23"/>
  <c r="J797" i="23"/>
  <c r="J794" i="23"/>
  <c r="J791" i="23"/>
  <c r="J786" i="23"/>
  <c r="J783" i="23"/>
  <c r="J780" i="23"/>
  <c r="J775" i="23"/>
  <c r="J772" i="23"/>
  <c r="J766" i="23"/>
  <c r="J736" i="23"/>
  <c r="J2044" i="23" l="1"/>
  <c r="J2190" i="23" l="1"/>
  <c r="G1926" i="23" l="1"/>
  <c r="J1581" i="23" l="1"/>
  <c r="G1581" i="23"/>
  <c r="J2275" i="23" l="1"/>
  <c r="J2216" i="23"/>
  <c r="J2143" i="23"/>
  <c r="J2073" i="23"/>
  <c r="J1861" i="23"/>
  <c r="J1845" i="23"/>
  <c r="J1842" i="23"/>
  <c r="J1811" i="23"/>
  <c r="J1567" i="23"/>
  <c r="J1576" i="23"/>
  <c r="J1573" i="23"/>
  <c r="J1570" i="23"/>
  <c r="J1565" i="23"/>
  <c r="J1562" i="23"/>
  <c r="J1559" i="23"/>
  <c r="J1556" i="23"/>
  <c r="J1553" i="23"/>
  <c r="J1550" i="23"/>
  <c r="J1547" i="23"/>
  <c r="J1544" i="23"/>
  <c r="J1541" i="23"/>
  <c r="J1533" i="23"/>
  <c r="J1526" i="23"/>
  <c r="J1523" i="23"/>
  <c r="J1519" i="23"/>
  <c r="J1500" i="23"/>
  <c r="J1497" i="23"/>
  <c r="J1489" i="23"/>
  <c r="J1486" i="23"/>
  <c r="J1483" i="23"/>
  <c r="J1480" i="23"/>
  <c r="J1477" i="23"/>
  <c r="J1474" i="23"/>
  <c r="J1471" i="23"/>
  <c r="J1468" i="23"/>
  <c r="J1465" i="23"/>
  <c r="J2402" i="23" l="1"/>
  <c r="J1606" i="23"/>
  <c r="J1444" i="23"/>
  <c r="J1441" i="23"/>
  <c r="J1436" i="23"/>
  <c r="J1418" i="23"/>
  <c r="J1400" i="23"/>
  <c r="J1393" i="23"/>
  <c r="J1385" i="23"/>
  <c r="J1377" i="23"/>
  <c r="J1333" i="23"/>
  <c r="J1327" i="23"/>
  <c r="J1305" i="23"/>
  <c r="J1303" i="23"/>
  <c r="J1300" i="23"/>
  <c r="J1297" i="23"/>
  <c r="J1294" i="23"/>
  <c r="J1289" i="23"/>
  <c r="J1273" i="23"/>
  <c r="J1461" i="23" l="1"/>
  <c r="J1346" i="23"/>
  <c r="J1232" i="23"/>
  <c r="J1229" i="23"/>
  <c r="J1227" i="23"/>
  <c r="J1222" i="23"/>
  <c r="J1220" i="23"/>
  <c r="J1176" i="23"/>
  <c r="J1173" i="23"/>
  <c r="J1257" i="23"/>
  <c r="J1251" i="23"/>
  <c r="J1243" i="23"/>
  <c r="J1240" i="23"/>
  <c r="J1236" i="23"/>
  <c r="J1225" i="23"/>
  <c r="J1218" i="23"/>
  <c r="J1214" i="23"/>
  <c r="J1210" i="23" l="1"/>
  <c r="J1206" i="23"/>
  <c r="J1202" i="23"/>
  <c r="J1199" i="23"/>
  <c r="J1196" i="23"/>
  <c r="J1193" i="23"/>
  <c r="J1189" i="23"/>
  <c r="J1186" i="23"/>
  <c r="J1182" i="23"/>
  <c r="J1179" i="23"/>
  <c r="J1152" i="23"/>
  <c r="J1144" i="23"/>
  <c r="J1119" i="23"/>
  <c r="J1114" i="23"/>
  <c r="J1112" i="23"/>
  <c r="J1110" i="23"/>
  <c r="J1108" i="23"/>
  <c r="J1083" i="23"/>
  <c r="J1081" i="23"/>
  <c r="J1079" i="23"/>
  <c r="J1167" i="23"/>
  <c r="J1164" i="23"/>
  <c r="J1161" i="23"/>
  <c r="J1158" i="23"/>
  <c r="J1155" i="23"/>
  <c r="J1150" i="23"/>
  <c r="J1147" i="23"/>
  <c r="J1142" i="23"/>
  <c r="J1139" i="23"/>
  <c r="J1136" i="23"/>
  <c r="J1133" i="23"/>
  <c r="J1130" i="23"/>
  <c r="J1127" i="23"/>
  <c r="J1124" i="23"/>
  <c r="J1122" i="23"/>
  <c r="J1117" i="23"/>
  <c r="J1106" i="23"/>
  <c r="J1103" i="23"/>
  <c r="J1100" i="23"/>
  <c r="J1097" i="23"/>
  <c r="J1094" i="23"/>
  <c r="J1091" i="23"/>
  <c r="J1088" i="23"/>
  <c r="J1086" i="23"/>
  <c r="J995" i="23"/>
  <c r="J989" i="23"/>
  <c r="J983" i="23"/>
  <c r="J972" i="23"/>
  <c r="J1004" i="23"/>
  <c r="J955" i="23"/>
  <c r="J948" i="23"/>
  <c r="J940" i="23"/>
  <c r="J932" i="23"/>
  <c r="J1013" i="23" l="1"/>
  <c r="J1259" i="23"/>
  <c r="J1169" i="23"/>
  <c r="J901" i="23"/>
  <c r="J888" i="23"/>
  <c r="J879" i="23"/>
  <c r="J862" i="23"/>
  <c r="J853" i="23"/>
  <c r="J845" i="23"/>
  <c r="J837" i="23"/>
  <c r="J829" i="23"/>
  <c r="J819" i="23"/>
  <c r="J809" i="23"/>
  <c r="J799" i="23"/>
  <c r="J788" i="23"/>
  <c r="J760" i="23"/>
  <c r="J752" i="23"/>
  <c r="J744" i="23"/>
  <c r="J733" i="23"/>
  <c r="J731" i="23"/>
  <c r="J729" i="23"/>
  <c r="J721" i="23"/>
  <c r="J712" i="23"/>
  <c r="J696" i="23"/>
  <c r="J693" i="23"/>
  <c r="J691" i="23"/>
  <c r="J683" i="23"/>
  <c r="J681" i="23"/>
  <c r="J689" i="23"/>
  <c r="J686" i="23"/>
  <c r="J670" i="23"/>
  <c r="J667" i="23"/>
  <c r="J664" i="23"/>
  <c r="J661" i="23"/>
  <c r="J658" i="23"/>
  <c r="J653" i="23"/>
  <c r="J650" i="23"/>
  <c r="J647" i="23"/>
  <c r="J643" i="23"/>
  <c r="J640" i="23"/>
  <c r="J636" i="23"/>
  <c r="J633" i="23"/>
  <c r="J630" i="23"/>
  <c r="J625" i="23"/>
  <c r="J622" i="23"/>
  <c r="J619" i="23"/>
  <c r="J616" i="23"/>
  <c r="J507" i="23"/>
  <c r="J504" i="23"/>
  <c r="J501" i="23"/>
  <c r="J497" i="23"/>
  <c r="J494" i="23"/>
  <c r="J490" i="23"/>
  <c r="J488" i="23"/>
  <c r="J485" i="23"/>
  <c r="J482" i="23"/>
  <c r="J478" i="23"/>
  <c r="J475" i="23"/>
  <c r="J469" i="23"/>
  <c r="J463" i="23"/>
  <c r="J461" i="23"/>
  <c r="J458" i="23"/>
  <c r="J456" i="23"/>
  <c r="J448" i="23"/>
  <c r="J445" i="23"/>
  <c r="J442" i="23"/>
  <c r="J439" i="23"/>
  <c r="J437" i="23"/>
  <c r="J434" i="23"/>
  <c r="J432" i="23"/>
  <c r="J428" i="23"/>
  <c r="J425" i="23"/>
  <c r="J422" i="23"/>
  <c r="J419" i="23"/>
  <c r="J416" i="23"/>
  <c r="J413" i="23"/>
  <c r="J410" i="23"/>
  <c r="J408" i="23"/>
  <c r="J402" i="23"/>
  <c r="J399" i="23"/>
  <c r="J396" i="23"/>
  <c r="J392" i="23"/>
  <c r="J389" i="23"/>
  <c r="J386" i="23"/>
  <c r="J383" i="23"/>
  <c r="J379" i="23"/>
  <c r="J376" i="23"/>
  <c r="J373" i="23"/>
  <c r="J371" i="23"/>
  <c r="J368" i="23"/>
  <c r="J363" i="23"/>
  <c r="J359" i="23"/>
  <c r="J915" i="23" l="1"/>
  <c r="J678" i="23"/>
  <c r="J702" i="23"/>
  <c r="J357" i="23"/>
  <c r="J353" i="23"/>
  <c r="J350" i="23"/>
  <c r="J347" i="23"/>
  <c r="J342" i="23"/>
  <c r="J339" i="23"/>
  <c r="J335" i="23"/>
  <c r="J332" i="23"/>
  <c r="J315" i="23"/>
  <c r="J308" i="23"/>
  <c r="J302" i="23"/>
  <c r="J300" i="23"/>
  <c r="J297" i="23"/>
  <c r="J294" i="23"/>
  <c r="J291" i="23"/>
  <c r="J288" i="23"/>
  <c r="J285" i="23"/>
  <c r="J282" i="23"/>
  <c r="J279" i="23"/>
  <c r="J276" i="23"/>
  <c r="J271" i="23"/>
  <c r="J268" i="23"/>
  <c r="J265" i="23"/>
  <c r="J262" i="23"/>
  <c r="J259" i="23"/>
  <c r="J256" i="23"/>
  <c r="J251" i="23"/>
  <c r="J248" i="23"/>
  <c r="J245" i="23"/>
  <c r="J326" i="23" l="1"/>
  <c r="J520" i="23"/>
  <c r="J241" i="23"/>
  <c r="J221" i="23"/>
  <c r="J213" i="23"/>
  <c r="J210" i="23"/>
  <c r="J207" i="23"/>
  <c r="J204" i="23"/>
  <c r="J201" i="23"/>
  <c r="J198" i="23"/>
  <c r="J195" i="23"/>
  <c r="J192" i="23"/>
  <c r="J189" i="23"/>
  <c r="J186" i="23"/>
  <c r="J180" i="23"/>
  <c r="J177" i="23"/>
  <c r="J173" i="23"/>
  <c r="J170" i="23"/>
  <c r="J167" i="23"/>
  <c r="J164" i="23"/>
  <c r="J161" i="23"/>
  <c r="J158" i="23"/>
  <c r="J155" i="23"/>
  <c r="J152" i="23"/>
  <c r="J231" i="23" l="1"/>
  <c r="J133" i="23"/>
  <c r="J127" i="23"/>
  <c r="J121" i="23"/>
  <c r="J115" i="23"/>
  <c r="J109" i="23"/>
  <c r="J103" i="23"/>
  <c r="J100" i="23"/>
  <c r="J76" i="23"/>
  <c r="J73" i="23"/>
  <c r="J70" i="23"/>
  <c r="J67" i="23"/>
  <c r="J48" i="23"/>
  <c r="J40" i="23"/>
  <c r="J37" i="23"/>
  <c r="J34" i="23"/>
  <c r="J31" i="23"/>
  <c r="J28" i="23"/>
  <c r="J19" i="23"/>
  <c r="J14" i="23"/>
  <c r="J11" i="23"/>
  <c r="J145" i="23" l="1"/>
  <c r="J4" i="23" s="1"/>
  <c r="D1002" i="23" l="1"/>
  <c r="D1004" i="23"/>
  <c r="G1810" i="23" l="1"/>
  <c r="G1853" i="23"/>
  <c r="G1850" i="23"/>
  <c r="G1847" i="23"/>
  <c r="G1838" i="23"/>
  <c r="G1834" i="23"/>
  <c r="G1836" i="23" s="1"/>
  <c r="G1831" i="23"/>
  <c r="G1828" i="23"/>
  <c r="G1825" i="23"/>
  <c r="G1822" i="23"/>
  <c r="G1819" i="23"/>
  <c r="G1816" i="23"/>
  <c r="G1813" i="23"/>
  <c r="G1806" i="23"/>
  <c r="G1803" i="23"/>
  <c r="G1799" i="23"/>
  <c r="G1795" i="23"/>
  <c r="G1792" i="23"/>
  <c r="G1789" i="23"/>
  <c r="G1867" i="23"/>
  <c r="G1870" i="23"/>
  <c r="G1873" i="23"/>
  <c r="G1879" i="23"/>
  <c r="G1882" i="23"/>
  <c r="G1885" i="23"/>
  <c r="G1893" i="23"/>
  <c r="G1902" i="23"/>
  <c r="G1905" i="23"/>
  <c r="G1912" i="23"/>
  <c r="G1929" i="23"/>
  <c r="G1932" i="23"/>
  <c r="G1935" i="23"/>
  <c r="G1938" i="23"/>
  <c r="G1941" i="23"/>
  <c r="G1944" i="23"/>
  <c r="G1948" i="23"/>
  <c r="G1952" i="23"/>
  <c r="G2299" i="23"/>
  <c r="G2261" i="23"/>
  <c r="G2257" i="23"/>
  <c r="G2254" i="23"/>
  <c r="G2251" i="23"/>
  <c r="G2248" i="23"/>
  <c r="G2241" i="23"/>
  <c r="G2238" i="23"/>
  <c r="G2234" i="23"/>
  <c r="G2230" i="23"/>
  <c r="G2227" i="23"/>
  <c r="G2224" i="23"/>
  <c r="G2221" i="23"/>
  <c r="G2218" i="23"/>
  <c r="G2202" i="23"/>
  <c r="G2192" i="23"/>
  <c r="G2186" i="23"/>
  <c r="G2183" i="23"/>
  <c r="G2180" i="23"/>
  <c r="G2177" i="23"/>
  <c r="G2174" i="23"/>
  <c r="G2170" i="23"/>
  <c r="G2166" i="23"/>
  <c r="G2160" i="23"/>
  <c r="G2157" i="23"/>
  <c r="G2152" i="23"/>
  <c r="G2149" i="23"/>
  <c r="G2145" i="23"/>
  <c r="G2139" i="23"/>
  <c r="G2136" i="23"/>
  <c r="G2126" i="23"/>
  <c r="G2113" i="23"/>
  <c r="G2110" i="23"/>
  <c r="G2106" i="23"/>
  <c r="G2097" i="23"/>
  <c r="G2094" i="23"/>
  <c r="G2091" i="23"/>
  <c r="G2088" i="23"/>
  <c r="G2295" i="23"/>
  <c r="G2292" i="23"/>
  <c r="G2289" i="23"/>
  <c r="G2286" i="23"/>
  <c r="G2282" i="23"/>
  <c r="G2010" i="23"/>
  <c r="G2007" i="23"/>
  <c r="G1999" i="23"/>
  <c r="G1995" i="23"/>
  <c r="G1990" i="23"/>
  <c r="G1986" i="23"/>
  <c r="G1983" i="23"/>
  <c r="G1979" i="23"/>
  <c r="G1976" i="23"/>
  <c r="G1973" i="23"/>
  <c r="G1970" i="23"/>
  <c r="G1966" i="23"/>
  <c r="G1963" i="23"/>
  <c r="G1960" i="23"/>
  <c r="G1956" i="23"/>
  <c r="G2085" i="23"/>
  <c r="G2082" i="23"/>
  <c r="G2079" i="23"/>
  <c r="G2075" i="23"/>
  <c r="G2072" i="23"/>
  <c r="G2066" i="23"/>
  <c r="G2063" i="23"/>
  <c r="G2060" i="23"/>
  <c r="G2057" i="23"/>
  <c r="G2054" i="23"/>
  <c r="G2050" i="23"/>
  <c r="G2046" i="23"/>
  <c r="G2043" i="23"/>
  <c r="G2040" i="23"/>
  <c r="G2037" i="23"/>
  <c r="G2031" i="23"/>
  <c r="G2027" i="23"/>
  <c r="G2024" i="23"/>
  <c r="G2021" i="23"/>
  <c r="G2003" i="23"/>
  <c r="G2017" i="23"/>
  <c r="G1923" i="23"/>
  <c r="G1916" i="23"/>
  <c r="G1909" i="23"/>
  <c r="G1899" i="23"/>
  <c r="G1889" i="23"/>
  <c r="G1864" i="23"/>
  <c r="G1774" i="23"/>
  <c r="G1770" i="23"/>
  <c r="G1764" i="23"/>
  <c r="G1760" i="23"/>
  <c r="G1756" i="23"/>
  <c r="G1750" i="23"/>
  <c r="G1745" i="23"/>
  <c r="G1739" i="23"/>
  <c r="G1575" i="23"/>
  <c r="G1572" i="23"/>
  <c r="G1569" i="23"/>
  <c r="G1566" i="23"/>
  <c r="G1564" i="23"/>
  <c r="G1561" i="23"/>
  <c r="G1555" i="23"/>
  <c r="G1552" i="23"/>
  <c r="G1549" i="23"/>
  <c r="G1546" i="23"/>
  <c r="G1543" i="23"/>
  <c r="G1540" i="23"/>
  <c r="G1532" i="23"/>
  <c r="G1525" i="23"/>
  <c r="G1522" i="23"/>
  <c r="G1518" i="23"/>
  <c r="G1514" i="23"/>
  <c r="G1506" i="23"/>
  <c r="G1496" i="23"/>
  <c r="G1499" i="23"/>
  <c r="G1488" i="23"/>
  <c r="G1485" i="23"/>
  <c r="G1482" i="23"/>
  <c r="G1479" i="23"/>
  <c r="G1473" i="23"/>
  <c r="G1470" i="23"/>
  <c r="G1467" i="23"/>
  <c r="G1464" i="23"/>
  <c r="G1296" i="23"/>
  <c r="G1293" i="23"/>
  <c r="G1288" i="23"/>
  <c r="G1335" i="23"/>
  <c r="G1320" i="23"/>
  <c r="G1313" i="23"/>
  <c r="G1310" i="23"/>
  <c r="G1307" i="23"/>
  <c r="G1285" i="23"/>
  <c r="G1282" i="23"/>
  <c r="G1279" i="23"/>
  <c r="G1276" i="23"/>
  <c r="G1272" i="23"/>
  <c r="G1270" i="23" s="1"/>
  <c r="G1265" i="23"/>
  <c r="G1262" i="23"/>
  <c r="G1166" i="23"/>
  <c r="G1163" i="23"/>
  <c r="G1160" i="23"/>
  <c r="G1157" i="23"/>
  <c r="G1154" i="23"/>
  <c r="G1149" i="23"/>
  <c r="G1146" i="23"/>
  <c r="G1141" i="23"/>
  <c r="G1138" i="23"/>
  <c r="G1135" i="23"/>
  <c r="G1132" i="23"/>
  <c r="G1129" i="23"/>
  <c r="G1126" i="23"/>
  <c r="G1121" i="23"/>
  <c r="G1116" i="23"/>
  <c r="G1105" i="23"/>
  <c r="G1102" i="23"/>
  <c r="G1099" i="23"/>
  <c r="G1096" i="23"/>
  <c r="G1093" i="23"/>
  <c r="G1090" i="23"/>
  <c r="G1085" i="23"/>
  <c r="G1056" i="23"/>
  <c r="G1059" i="23"/>
  <c r="G1065" i="23"/>
  <c r="G1062" i="23"/>
  <c r="G793" i="23"/>
  <c r="G900" i="23" l="1"/>
  <c r="G891" i="23"/>
  <c r="G887" i="23"/>
  <c r="G878" i="23"/>
  <c r="G870" i="23"/>
  <c r="G861" i="23"/>
  <c r="G852" i="23"/>
  <c r="G844" i="23"/>
  <c r="G836" i="23"/>
  <c r="G828" i="23"/>
  <c r="G818" i="23"/>
  <c r="G808" i="23"/>
  <c r="G796" i="23"/>
  <c r="G790" i="23"/>
  <c r="G785" i="23"/>
  <c r="G782" i="23"/>
  <c r="G779" i="23"/>
  <c r="G774" i="23"/>
  <c r="G771" i="23"/>
  <c r="G765" i="23"/>
  <c r="G759" i="23"/>
  <c r="G751" i="23"/>
  <c r="G743" i="23"/>
  <c r="G711" i="23"/>
  <c r="G720" i="23"/>
  <c r="G728" i="23"/>
  <c r="G735" i="23"/>
  <c r="G669" i="23"/>
  <c r="G666" i="23"/>
  <c r="G663" i="23"/>
  <c r="G660" i="23"/>
  <c r="G657" i="23"/>
  <c r="G652" i="23"/>
  <c r="G649" i="23"/>
  <c r="G646" i="23"/>
  <c r="G642" i="23"/>
  <c r="G639" i="23"/>
  <c r="G635" i="23"/>
  <c r="G632" i="23"/>
  <c r="G629" i="23"/>
  <c r="G627" i="23"/>
  <c r="G624" i="23"/>
  <c r="G621" i="23"/>
  <c r="G618" i="23"/>
  <c r="G615" i="23"/>
  <c r="G695" i="23"/>
  <c r="G688" i="23"/>
  <c r="G685" i="23"/>
  <c r="G686" i="23" s="1"/>
  <c r="G506" i="23"/>
  <c r="G507" i="23" s="1"/>
  <c r="G496" i="23"/>
  <c r="G497" i="23" s="1"/>
  <c r="G487" i="23"/>
  <c r="G488" i="23" s="1"/>
  <c r="G484" i="23"/>
  <c r="G485" i="23" s="1"/>
  <c r="G471" i="23"/>
  <c r="G475" i="23" s="1"/>
  <c r="G250" i="23"/>
  <c r="G367" i="23"/>
  <c r="G451" i="23"/>
  <c r="G452" i="23" s="1"/>
  <c r="G444" i="23"/>
  <c r="G441" i="23"/>
  <c r="G436" i="23"/>
  <c r="G424" i="23"/>
  <c r="G421" i="23"/>
  <c r="G418" i="23"/>
  <c r="G372" i="23"/>
  <c r="G370" i="23"/>
  <c r="G352" i="23"/>
  <c r="G349" i="23"/>
  <c r="G301" i="23"/>
  <c r="G299" i="23"/>
  <c r="G296" i="23"/>
  <c r="G293" i="23"/>
  <c r="G287" i="23"/>
  <c r="G284" i="23"/>
  <c r="G281" i="23"/>
  <c r="G278" i="23"/>
  <c r="G275" i="23"/>
  <c r="G270" i="23"/>
  <c r="G267" i="23"/>
  <c r="G264" i="23"/>
  <c r="G258" i="23"/>
  <c r="G220" i="23"/>
  <c r="G215" i="23"/>
  <c r="G212" i="23"/>
  <c r="G209" i="23"/>
  <c r="G206" i="23"/>
  <c r="G203" i="23"/>
  <c r="G200" i="23"/>
  <c r="G197" i="23"/>
  <c r="G194" i="23"/>
  <c r="G191" i="23"/>
  <c r="G188" i="23"/>
  <c r="G185" i="23"/>
  <c r="G182" i="23"/>
  <c r="G179" i="23"/>
  <c r="G176" i="23"/>
  <c r="G172" i="23"/>
  <c r="G169" i="23"/>
  <c r="G166" i="23"/>
  <c r="G163" i="23"/>
  <c r="G160" i="23"/>
  <c r="D160" i="23"/>
  <c r="G157" i="23"/>
  <c r="G154" i="23"/>
  <c r="G151" i="23"/>
  <c r="G64" i="23"/>
  <c r="G58" i="23"/>
  <c r="G56" i="23"/>
  <c r="D1270" i="23" l="1"/>
  <c r="D931" i="23"/>
  <c r="D688" i="23" l="1"/>
  <c r="D685" i="23"/>
  <c r="D500" i="23" l="1"/>
  <c r="D493" i="23"/>
  <c r="D481" i="23"/>
  <c r="D477" i="23"/>
  <c r="D474" i="23"/>
  <c r="D468" i="23"/>
  <c r="D455" i="23"/>
  <c r="D415" i="23"/>
  <c r="D427" i="23"/>
  <c r="D412" i="23"/>
  <c r="D407" i="23"/>
  <c r="D401" i="23"/>
  <c r="D398" i="23"/>
  <c r="D395" i="23"/>
  <c r="D391" i="23"/>
  <c r="D388" i="23"/>
  <c r="D385" i="23"/>
  <c r="D382" i="23"/>
  <c r="D378" i="23"/>
  <c r="D375" i="23"/>
  <c r="D365" i="23"/>
  <c r="D362" i="23"/>
  <c r="D356" i="23"/>
  <c r="D357" i="23" s="1"/>
  <c r="D346" i="23"/>
  <c r="D341" i="23"/>
  <c r="D338" i="23"/>
  <c r="D334" i="23"/>
  <c r="D331" i="23"/>
  <c r="D132" i="23"/>
  <c r="D126" i="23"/>
  <c r="D120" i="23"/>
  <c r="D114" i="23"/>
  <c r="D108" i="23"/>
  <c r="D96" i="23"/>
  <c r="D84" i="23"/>
  <c r="D332" i="23" l="1"/>
  <c r="D389" i="23"/>
  <c r="D342" i="23"/>
  <c r="D386" i="23"/>
  <c r="D399" i="23"/>
  <c r="D428" i="23"/>
  <c r="D501" i="23"/>
  <c r="D347" i="23"/>
  <c r="D402" i="23"/>
  <c r="D335" i="23"/>
  <c r="D379" i="23"/>
  <c r="D408" i="23"/>
  <c r="D456" i="23"/>
  <c r="D482" i="23"/>
  <c r="D416" i="23"/>
  <c r="D392" i="23"/>
  <c r="D339" i="23"/>
  <c r="D363" i="23"/>
  <c r="D383" i="23"/>
  <c r="D396" i="23"/>
  <c r="D413" i="23"/>
  <c r="D469" i="23"/>
  <c r="D494" i="23"/>
  <c r="D97" i="23"/>
  <c r="D115" i="23"/>
  <c r="D64" i="23"/>
  <c r="D56" i="23"/>
  <c r="D24" i="23"/>
  <c r="D18" i="23"/>
  <c r="D10" i="23"/>
  <c r="D2301" i="23" l="1"/>
  <c r="G2301" i="23" s="1"/>
  <c r="G2124" i="23"/>
  <c r="D50" i="23"/>
  <c r="D36" i="23"/>
  <c r="D30" i="23"/>
  <c r="D47" i="23"/>
  <c r="D33" i="23"/>
  <c r="D27" i="23"/>
  <c r="D102" i="23"/>
  <c r="D99" i="23"/>
  <c r="D78" i="23"/>
  <c r="D39" i="23"/>
  <c r="D13" i="23"/>
  <c r="D75" i="23"/>
  <c r="D72" i="23"/>
  <c r="D69" i="23"/>
  <c r="D58" i="23"/>
  <c r="D100" i="23" l="1"/>
  <c r="D1272" i="23"/>
  <c r="D209" i="23"/>
  <c r="D163" i="23"/>
  <c r="D166" i="23"/>
  <c r="D182" i="23"/>
  <c r="D169" i="23"/>
  <c r="D172" i="23"/>
  <c r="D179" i="23"/>
  <c r="D185" i="23"/>
  <c r="D188" i="23"/>
  <c r="D194" i="23"/>
  <c r="D206" i="23"/>
  <c r="D212" i="23"/>
  <c r="D215" i="23"/>
  <c r="D444" i="23"/>
  <c r="D441" i="23"/>
  <c r="D436" i="23"/>
  <c r="D424" i="23"/>
  <c r="D421" i="23"/>
  <c r="D418" i="23"/>
  <c r="D372" i="23"/>
  <c r="D370" i="23"/>
  <c r="D352" i="23"/>
  <c r="D349" i="23"/>
  <c r="D471" i="23"/>
  <c r="D367" i="23"/>
  <c r="D368" i="23" s="1"/>
  <c r="D503" i="23"/>
  <c r="D506" i="23"/>
  <c r="D487" i="23"/>
  <c r="D484" i="23"/>
  <c r="D460" i="23"/>
  <c r="D451" i="23"/>
  <c r="D191" i="23"/>
  <c r="D197" i="23"/>
  <c r="D200" i="23"/>
  <c r="D203" i="23"/>
  <c r="D220" i="23"/>
  <c r="D151" i="23"/>
  <c r="D157" i="23"/>
  <c r="D176" i="23"/>
  <c r="D488" i="23" l="1"/>
  <c r="D371" i="23"/>
  <c r="D425" i="23"/>
  <c r="D452" i="23"/>
  <c r="D373" i="23"/>
  <c r="D437" i="23"/>
  <c r="D461" i="23"/>
  <c r="D507" i="23"/>
  <c r="D350" i="23"/>
  <c r="D419" i="23"/>
  <c r="D442" i="23"/>
  <c r="D475" i="23"/>
  <c r="D485" i="23"/>
  <c r="D504" i="23"/>
  <c r="D353" i="23"/>
  <c r="D422" i="23"/>
  <c r="D445" i="23"/>
  <c r="G365" i="23"/>
  <c r="G368" i="23" s="1"/>
  <c r="D765" i="23"/>
  <c r="D785" i="23"/>
  <c r="D779" i="23"/>
  <c r="D774" i="23"/>
  <c r="D790" i="23"/>
  <c r="D771" i="23"/>
  <c r="D782" i="23"/>
  <c r="D793" i="23"/>
  <c r="D887" i="23"/>
  <c r="D878" i="23"/>
  <c r="D870" i="23"/>
  <c r="D861" i="23"/>
  <c r="D852" i="23"/>
  <c r="D844" i="23"/>
  <c r="D836" i="23"/>
  <c r="D828" i="23"/>
  <c r="D818" i="23"/>
  <c r="D808" i="23"/>
  <c r="D759" i="23"/>
  <c r="D728" i="23"/>
  <c r="D720" i="23"/>
  <c r="D711" i="23"/>
  <c r="D250" i="23"/>
  <c r="D267" i="23"/>
  <c r="D270" i="23"/>
  <c r="D278" i="23"/>
  <c r="D293" i="23"/>
  <c r="D296" i="23"/>
  <c r="D299" i="23"/>
  <c r="D284" i="23"/>
  <c r="D281" i="23"/>
  <c r="D287" i="23"/>
  <c r="D264" i="23"/>
  <c r="G1876" i="23"/>
  <c r="D1652" i="23"/>
  <c r="D760" i="23" l="1"/>
  <c r="D2299" i="23"/>
  <c r="D2302" i="23" s="1"/>
  <c r="D1768" i="23" l="1"/>
  <c r="D1786" i="23" s="1"/>
  <c r="D1018" i="23"/>
  <c r="D1043" i="23"/>
  <c r="G2302" i="23"/>
  <c r="G2287" i="23"/>
  <c r="G2280" i="23"/>
  <c r="G2272" i="23"/>
  <c r="G2210" i="23"/>
  <c r="G2203" i="23"/>
  <c r="G2197" i="23"/>
  <c r="G2128" i="23"/>
  <c r="G2121" i="23"/>
  <c r="G2104" i="23"/>
  <c r="G2073" i="23"/>
  <c r="G2019" i="23"/>
  <c r="G2005" i="23"/>
  <c r="G1900" i="23"/>
  <c r="G1865" i="23"/>
  <c r="D1865" i="23"/>
  <c r="G1861" i="23"/>
  <c r="D1861" i="23"/>
  <c r="G1811" i="23"/>
  <c r="G1776" i="23"/>
  <c r="G1772" i="23"/>
  <c r="G1768" i="23"/>
  <c r="G1766" i="23"/>
  <c r="G1762" i="23"/>
  <c r="G1758" i="23"/>
  <c r="G1752" i="23"/>
  <c r="G1747" i="23"/>
  <c r="G1741" i="23"/>
  <c r="G1786" i="23" l="1"/>
  <c r="G1716" i="23"/>
  <c r="D1716" i="23"/>
  <c r="G1713" i="23"/>
  <c r="D1713" i="23"/>
  <c r="G1710" i="23"/>
  <c r="D1710" i="23"/>
  <c r="G1706" i="23"/>
  <c r="D1706" i="23"/>
  <c r="D1702" i="23"/>
  <c r="G1702" i="23"/>
  <c r="G1697" i="23"/>
  <c r="D1697" i="23"/>
  <c r="G1692" i="23"/>
  <c r="D1692" i="23"/>
  <c r="G1689" i="23"/>
  <c r="D1689" i="23"/>
  <c r="G1686" i="23"/>
  <c r="D1686" i="23"/>
  <c r="G1681" i="23"/>
  <c r="D1681" i="23"/>
  <c r="G1678" i="23"/>
  <c r="D1678" i="23"/>
  <c r="G1675" i="23"/>
  <c r="D1675" i="23"/>
  <c r="G1670" i="23"/>
  <c r="D1670" i="23"/>
  <c r="G1667" i="23"/>
  <c r="D1667" i="23"/>
  <c r="G1664" i="23"/>
  <c r="D1664" i="23"/>
  <c r="G1661" i="23"/>
  <c r="D1661" i="23"/>
  <c r="G1658" i="23"/>
  <c r="D1658" i="23"/>
  <c r="G1655" i="23"/>
  <c r="D1655" i="23"/>
  <c r="G1652" i="23"/>
  <c r="G1649" i="23"/>
  <c r="D1649" i="23"/>
  <c r="G1646" i="23"/>
  <c r="D1646" i="23"/>
  <c r="G1643" i="23"/>
  <c r="D1643" i="23"/>
  <c r="G1640" i="23"/>
  <c r="D1640" i="23"/>
  <c r="G1637" i="23"/>
  <c r="D1637" i="23"/>
  <c r="G1635" i="23"/>
  <c r="D1635" i="23"/>
  <c r="G1632" i="23"/>
  <c r="D1632" i="23"/>
  <c r="G1629" i="23"/>
  <c r="D1629" i="23"/>
  <c r="G1626" i="23"/>
  <c r="D1626" i="23"/>
  <c r="G1623" i="23"/>
  <c r="D1623" i="23"/>
  <c r="G1620" i="23"/>
  <c r="D1620" i="23"/>
  <c r="G1613" i="23"/>
  <c r="D1613" i="23"/>
  <c r="G1610" i="23"/>
  <c r="D1610" i="23"/>
  <c r="G1576" i="23"/>
  <c r="D1576" i="23"/>
  <c r="G1573" i="23"/>
  <c r="D1573" i="23"/>
  <c r="G1570" i="23"/>
  <c r="D1570" i="23"/>
  <c r="G1567" i="23"/>
  <c r="D1567" i="23"/>
  <c r="G1565" i="23"/>
  <c r="D1565" i="23"/>
  <c r="G1562" i="23"/>
  <c r="D1562" i="23"/>
  <c r="G1559" i="23"/>
  <c r="D1559" i="23"/>
  <c r="G1556" i="23"/>
  <c r="D1556" i="23"/>
  <c r="G1553" i="23"/>
  <c r="D1553" i="23"/>
  <c r="G1550" i="23"/>
  <c r="D1550" i="23"/>
  <c r="G1547" i="23"/>
  <c r="D1547" i="23"/>
  <c r="G1544" i="23"/>
  <c r="D1544" i="23"/>
  <c r="G1541" i="23"/>
  <c r="D1541" i="23"/>
  <c r="G1533" i="23"/>
  <c r="D1533" i="23"/>
  <c r="G1526" i="23"/>
  <c r="D1526" i="23"/>
  <c r="G1523" i="23"/>
  <c r="D1523" i="23"/>
  <c r="G1519" i="23"/>
  <c r="D1519" i="23"/>
  <c r="G1515" i="23"/>
  <c r="D1515" i="23"/>
  <c r="G1507" i="23"/>
  <c r="D1507" i="23"/>
  <c r="G1500" i="23"/>
  <c r="D1500" i="23"/>
  <c r="G1497" i="23"/>
  <c r="D1497" i="23"/>
  <c r="G1489" i="23"/>
  <c r="D1489" i="23"/>
  <c r="G1486" i="23"/>
  <c r="D1486" i="23"/>
  <c r="G1483" i="23"/>
  <c r="D1483" i="23"/>
  <c r="G1480" i="23"/>
  <c r="D1480" i="23"/>
  <c r="G1477" i="23"/>
  <c r="D1477" i="23"/>
  <c r="G1474" i="23"/>
  <c r="D1474" i="23"/>
  <c r="G1471" i="23"/>
  <c r="D1471" i="23"/>
  <c r="G1468" i="23"/>
  <c r="D1468" i="23"/>
  <c r="G1465" i="23"/>
  <c r="D1465" i="23"/>
  <c r="G1733" i="23" l="1"/>
  <c r="G1606" i="23"/>
  <c r="D1606" i="23"/>
  <c r="D1733" i="23"/>
  <c r="G1447" i="23"/>
  <c r="D1447" i="23"/>
  <c r="G1444" i="23"/>
  <c r="D1444" i="23"/>
  <c r="G1441" i="23"/>
  <c r="D1441" i="23"/>
  <c r="G1436" i="23"/>
  <c r="D1436" i="23"/>
  <c r="G1431" i="23"/>
  <c r="D1431" i="23"/>
  <c r="G1428" i="23"/>
  <c r="D1428" i="23"/>
  <c r="G1421" i="23"/>
  <c r="D1421" i="23"/>
  <c r="G1418" i="23"/>
  <c r="D1418" i="23"/>
  <c r="G1413" i="23"/>
  <c r="D1413" i="23"/>
  <c r="G1410" i="23"/>
  <c r="D1410" i="23"/>
  <c r="G1403" i="23"/>
  <c r="D1403" i="23"/>
  <c r="G1400" i="23"/>
  <c r="D1400" i="23"/>
  <c r="G1393" i="23"/>
  <c r="D1393" i="23"/>
  <c r="G1385" i="23"/>
  <c r="D1385" i="23"/>
  <c r="G1377" i="23"/>
  <c r="D1377" i="23"/>
  <c r="G1369" i="23"/>
  <c r="D1369" i="23"/>
  <c r="G1362" i="23"/>
  <c r="D1362" i="23"/>
  <c r="G1359" i="23"/>
  <c r="D1359" i="23"/>
  <c r="G1356" i="23"/>
  <c r="D1356" i="23"/>
  <c r="G1353" i="23"/>
  <c r="D1353" i="23"/>
  <c r="G1350" i="23"/>
  <c r="D1350" i="23"/>
  <c r="G1461" i="23" l="1"/>
  <c r="D1461" i="23"/>
  <c r="G1336" i="23"/>
  <c r="D1336" i="23"/>
  <c r="G1333" i="23"/>
  <c r="D1333" i="23"/>
  <c r="G1327" i="23"/>
  <c r="D1327" i="23"/>
  <c r="G1321" i="23"/>
  <c r="G1314" i="23"/>
  <c r="D1314" i="23"/>
  <c r="G1311" i="23"/>
  <c r="D1311" i="23"/>
  <c r="G1308" i="23"/>
  <c r="D1308" i="23"/>
  <c r="G1305" i="23"/>
  <c r="D1305" i="23"/>
  <c r="G1303" i="23"/>
  <c r="D1303" i="23"/>
  <c r="G1300" i="23"/>
  <c r="D1300" i="23"/>
  <c r="G1297" i="23"/>
  <c r="D1297" i="23"/>
  <c r="G1294" i="23"/>
  <c r="D1294" i="23"/>
  <c r="G1289" i="23"/>
  <c r="D1289" i="23"/>
  <c r="G1286" i="23"/>
  <c r="D1286" i="23"/>
  <c r="G1283" i="23"/>
  <c r="D1283" i="23"/>
  <c r="G1280" i="23"/>
  <c r="D1280" i="23"/>
  <c r="G1277" i="23"/>
  <c r="D1277" i="23"/>
  <c r="G1273" i="23"/>
  <c r="D1273" i="23"/>
  <c r="G1266" i="23"/>
  <c r="D1266" i="23"/>
  <c r="G1263" i="23"/>
  <c r="D1263" i="23"/>
  <c r="G1066" i="23"/>
  <c r="D1066" i="23"/>
  <c r="G1063" i="23"/>
  <c r="D1063" i="23"/>
  <c r="G1060" i="23"/>
  <c r="D1060" i="23"/>
  <c r="G1057" i="23"/>
  <c r="G1054" i="23"/>
  <c r="D1054" i="23"/>
  <c r="G1051" i="23"/>
  <c r="D1051" i="23"/>
  <c r="G1047" i="23"/>
  <c r="G1043" i="23"/>
  <c r="G1040" i="23"/>
  <c r="D1040" i="23"/>
  <c r="G1037" i="23"/>
  <c r="D1037" i="23"/>
  <c r="G1034" i="23"/>
  <c r="D1034" i="23"/>
  <c r="D1026" i="23"/>
  <c r="G1031" i="23"/>
  <c r="D1031" i="23"/>
  <c r="G1026" i="23"/>
  <c r="G1022" i="23"/>
  <c r="D1022" i="23"/>
  <c r="D995" i="23"/>
  <c r="D989" i="23"/>
  <c r="D983" i="23"/>
  <c r="D975" i="23"/>
  <c r="D972" i="23"/>
  <c r="D966" i="23"/>
  <c r="D963" i="23"/>
  <c r="G1076" i="23" l="1"/>
  <c r="G1346" i="23"/>
  <c r="D1076" i="23"/>
  <c r="D1346" i="23"/>
  <c r="D955" i="23"/>
  <c r="D948" i="23"/>
  <c r="D940" i="23"/>
  <c r="D932" i="23"/>
  <c r="D925" i="23"/>
  <c r="D922" i="23"/>
  <c r="D919" i="23"/>
  <c r="G799" i="23"/>
  <c r="D799" i="23"/>
  <c r="G797" i="23"/>
  <c r="D797" i="23"/>
  <c r="G794" i="23"/>
  <c r="D794" i="23"/>
  <c r="G791" i="23"/>
  <c r="D791" i="23"/>
  <c r="G788" i="23"/>
  <c r="D788" i="23"/>
  <c r="G786" i="23"/>
  <c r="D786" i="23"/>
  <c r="G783" i="23"/>
  <c r="D783" i="23"/>
  <c r="G780" i="23"/>
  <c r="D780" i="23"/>
  <c r="G775" i="23"/>
  <c r="D775" i="23"/>
  <c r="G772" i="23"/>
  <c r="D772" i="23"/>
  <c r="G766" i="23"/>
  <c r="D766" i="23"/>
  <c r="G736" i="23"/>
  <c r="D736" i="23"/>
  <c r="G696" i="23"/>
  <c r="D696" i="23"/>
  <c r="G693" i="23"/>
  <c r="D693" i="23"/>
  <c r="G691" i="23"/>
  <c r="D691" i="23"/>
  <c r="G689" i="23"/>
  <c r="D689" i="23"/>
  <c r="D686" i="23"/>
  <c r="G683" i="23"/>
  <c r="D683" i="23"/>
  <c r="G681" i="23"/>
  <c r="D681" i="23"/>
  <c r="G670" i="23"/>
  <c r="D670" i="23"/>
  <c r="G667" i="23"/>
  <c r="D667" i="23"/>
  <c r="G664" i="23"/>
  <c r="D664" i="23"/>
  <c r="G661" i="23"/>
  <c r="D661" i="23"/>
  <c r="G658" i="23"/>
  <c r="D658" i="23"/>
  <c r="G653" i="23"/>
  <c r="D653" i="23"/>
  <c r="G650" i="23"/>
  <c r="D650" i="23"/>
  <c r="G647" i="23"/>
  <c r="D647" i="23"/>
  <c r="G643" i="23"/>
  <c r="D643" i="23"/>
  <c r="G640" i="23"/>
  <c r="D640" i="23"/>
  <c r="G630" i="23"/>
  <c r="D630" i="23"/>
  <c r="G636" i="23"/>
  <c r="D636" i="23"/>
  <c r="G633" i="23"/>
  <c r="D633" i="23"/>
  <c r="G625" i="23"/>
  <c r="D625" i="23"/>
  <c r="G622" i="23"/>
  <c r="D622" i="23"/>
  <c r="G619" i="23"/>
  <c r="D619" i="23"/>
  <c r="G616" i="23"/>
  <c r="D616" i="23"/>
  <c r="G601" i="23"/>
  <c r="D601" i="23"/>
  <c r="G593" i="23"/>
  <c r="D593" i="23"/>
  <c r="G597" i="23"/>
  <c r="D597" i="23"/>
  <c r="G589" i="23"/>
  <c r="D589" i="23"/>
  <c r="G586" i="23"/>
  <c r="D586" i="23"/>
  <c r="G575" i="23"/>
  <c r="D575" i="23"/>
  <c r="G571" i="23"/>
  <c r="D571" i="23"/>
  <c r="G567" i="23"/>
  <c r="D567" i="23"/>
  <c r="G563" i="23"/>
  <c r="D563" i="23"/>
  <c r="G556" i="23"/>
  <c r="D556" i="23"/>
  <c r="G549" i="23"/>
  <c r="D549" i="23"/>
  <c r="G542" i="23"/>
  <c r="D542" i="23"/>
  <c r="G535" i="23"/>
  <c r="D535" i="23"/>
  <c r="G528" i="23"/>
  <c r="D478" i="23"/>
  <c r="G461" i="23"/>
  <c r="G448" i="23"/>
  <c r="D448" i="23"/>
  <c r="G445" i="23"/>
  <c r="G442" i="23"/>
  <c r="G437" i="23"/>
  <c r="G425" i="23"/>
  <c r="G422" i="23"/>
  <c r="G419" i="23"/>
  <c r="G402" i="23"/>
  <c r="G373" i="23"/>
  <c r="G371" i="23"/>
  <c r="G357" i="23"/>
  <c r="G353" i="23"/>
  <c r="G350" i="23"/>
  <c r="G315" i="23"/>
  <c r="D315" i="23"/>
  <c r="G308" i="23"/>
  <c r="D308" i="23"/>
  <c r="G302" i="23"/>
  <c r="D302" i="23"/>
  <c r="G300" i="23"/>
  <c r="D300" i="23"/>
  <c r="G297" i="23"/>
  <c r="D297" i="23"/>
  <c r="G294" i="23"/>
  <c r="D294" i="23"/>
  <c r="G291" i="23"/>
  <c r="D291" i="23"/>
  <c r="G288" i="23"/>
  <c r="D288" i="23"/>
  <c r="G285" i="23"/>
  <c r="D285" i="23"/>
  <c r="G282" i="23"/>
  <c r="D282" i="23"/>
  <c r="G279" i="23"/>
  <c r="D279" i="23"/>
  <c r="G276" i="23"/>
  <c r="D276" i="23"/>
  <c r="G273" i="23"/>
  <c r="D273" i="23"/>
  <c r="G271" i="23"/>
  <c r="D271" i="23"/>
  <c r="G268" i="23"/>
  <c r="D268" i="23"/>
  <c r="G265" i="23"/>
  <c r="D265" i="23"/>
  <c r="G262" i="23"/>
  <c r="D262" i="23"/>
  <c r="G259" i="23"/>
  <c r="D259" i="23"/>
  <c r="G256" i="23"/>
  <c r="D256" i="23"/>
  <c r="G251" i="23"/>
  <c r="D251" i="23"/>
  <c r="G248" i="23"/>
  <c r="D248" i="23"/>
  <c r="G245" i="23"/>
  <c r="D245" i="23"/>
  <c r="D582" i="23" l="1"/>
  <c r="D326" i="23"/>
  <c r="G326" i="23"/>
  <c r="G678" i="23"/>
  <c r="G1013" i="23"/>
  <c r="G612" i="23"/>
  <c r="G582" i="23"/>
  <c r="G702" i="23"/>
  <c r="D612" i="23"/>
  <c r="D678" i="23"/>
  <c r="D1013" i="23"/>
  <c r="D702" i="23"/>
  <c r="G1790" i="23"/>
  <c r="G1793" i="23"/>
  <c r="G1797" i="23"/>
  <c r="G1801" i="23"/>
  <c r="G1804" i="23"/>
  <c r="G1807" i="23"/>
  <c r="G1814" i="23"/>
  <c r="D1814" i="23"/>
  <c r="G1817" i="23"/>
  <c r="D1817" i="23"/>
  <c r="G1820" i="23"/>
  <c r="D1820" i="23"/>
  <c r="G1823" i="23"/>
  <c r="D1823" i="23"/>
  <c r="G1826" i="23"/>
  <c r="D1826" i="23"/>
  <c r="G1829" i="23"/>
  <c r="D1829" i="23"/>
  <c r="G1832" i="23"/>
  <c r="G1839" i="23"/>
  <c r="G1845" i="23"/>
  <c r="D1845" i="23"/>
  <c r="G1848" i="23"/>
  <c r="D1848" i="23"/>
  <c r="G1851" i="23"/>
  <c r="G1854" i="23"/>
  <c r="D1854" i="23"/>
  <c r="G1857" i="23"/>
  <c r="D1857" i="23"/>
  <c r="G1868" i="23"/>
  <c r="D1868" i="23"/>
  <c r="G1871" i="23"/>
  <c r="G1874" i="23"/>
  <c r="G1877" i="23"/>
  <c r="G1880" i="23"/>
  <c r="G1883" i="23"/>
  <c r="G1887" i="23"/>
  <c r="G1891" i="23"/>
  <c r="G1894" i="23"/>
  <c r="D1894" i="23"/>
  <c r="G1903" i="23"/>
  <c r="G1907" i="23"/>
  <c r="G1910" i="23"/>
  <c r="D1910" i="23"/>
  <c r="G1914" i="23"/>
  <c r="G1918" i="23"/>
  <c r="G1921" i="23"/>
  <c r="D1921" i="23"/>
  <c r="G1924" i="23"/>
  <c r="D1924" i="23"/>
  <c r="G1927" i="23"/>
  <c r="D1927" i="23"/>
  <c r="G1930" i="23"/>
  <c r="D1930" i="23"/>
  <c r="G1933" i="23"/>
  <c r="D1933" i="23"/>
  <c r="G1936" i="23"/>
  <c r="G1940" i="23"/>
  <c r="G1942" i="23"/>
  <c r="D1942" i="23"/>
  <c r="G1946" i="23"/>
  <c r="G1950" i="23"/>
  <c r="G1954" i="23"/>
  <c r="G1958" i="23"/>
  <c r="G1961" i="23"/>
  <c r="D1961" i="23"/>
  <c r="G1964" i="23"/>
  <c r="D1964" i="23"/>
  <c r="G1968" i="23"/>
  <c r="G1971" i="23"/>
  <c r="D1971" i="23"/>
  <c r="G1974" i="23"/>
  <c r="D1974" i="23"/>
  <c r="G1977" i="23"/>
  <c r="D1977" i="23"/>
  <c r="G1981" i="23"/>
  <c r="G1984" i="23"/>
  <c r="D1984" i="23"/>
  <c r="G1987" i="23"/>
  <c r="D1987" i="23"/>
  <c r="G1992" i="23"/>
  <c r="G1997" i="23"/>
  <c r="G2000" i="23"/>
  <c r="D2000" i="23"/>
  <c r="G2008" i="23"/>
  <c r="G2011" i="23"/>
  <c r="G2022" i="23"/>
  <c r="G2025" i="23"/>
  <c r="G2029" i="23"/>
  <c r="G2033" i="23"/>
  <c r="G2038" i="23"/>
  <c r="G2041" i="23"/>
  <c r="G2044" i="23"/>
  <c r="D2044" i="23"/>
  <c r="G2048" i="23"/>
  <c r="G2052" i="23"/>
  <c r="G2055" i="23"/>
  <c r="D2055" i="23"/>
  <c r="G2058" i="23"/>
  <c r="G2061" i="23"/>
  <c r="G2064" i="23"/>
  <c r="G2067" i="23"/>
  <c r="G2077" i="23"/>
  <c r="G2080" i="23"/>
  <c r="D2080" i="23"/>
  <c r="G2083" i="23"/>
  <c r="G2086" i="23"/>
  <c r="D2086" i="23"/>
  <c r="G2089" i="23"/>
  <c r="G2092" i="23"/>
  <c r="G2095" i="23"/>
  <c r="G2098" i="23"/>
  <c r="G2108" i="23"/>
  <c r="G2111" i="23"/>
  <c r="D2111" i="23"/>
  <c r="G2114" i="23"/>
  <c r="D2114" i="23"/>
  <c r="G2117" i="23"/>
  <c r="G2131" i="23"/>
  <c r="D2131" i="23"/>
  <c r="G2134" i="23"/>
  <c r="D2134" i="23"/>
  <c r="G2137" i="23"/>
  <c r="D2137" i="23"/>
  <c r="G2140" i="23"/>
  <c r="D2140" i="23"/>
  <c r="G2143" i="23"/>
  <c r="D2143" i="23"/>
  <c r="G2146" i="23"/>
  <c r="G2150" i="23"/>
  <c r="G2153" i="23"/>
  <c r="G2158" i="23"/>
  <c r="D2158" i="23"/>
  <c r="G2161" i="23"/>
  <c r="D2161" i="23"/>
  <c r="G2164" i="23"/>
  <c r="D2164" i="23"/>
  <c r="G2168" i="23"/>
  <c r="G2172" i="23"/>
  <c r="G2175" i="23"/>
  <c r="D2175" i="23"/>
  <c r="G2178" i="23"/>
  <c r="D2178" i="23"/>
  <c r="G2181" i="23"/>
  <c r="G2184" i="23"/>
  <c r="G2187" i="23"/>
  <c r="G2190" i="23"/>
  <c r="D2190" i="23"/>
  <c r="G2193" i="23"/>
  <c r="G2219" i="23"/>
  <c r="G2222" i="23"/>
  <c r="G2225" i="23"/>
  <c r="D2225" i="23"/>
  <c r="G2228" i="23"/>
  <c r="D2228" i="23"/>
  <c r="G2232" i="23"/>
  <c r="G2236" i="23"/>
  <c r="G2239" i="23"/>
  <c r="G2243" i="23"/>
  <c r="G2246" i="23"/>
  <c r="D2246" i="23"/>
  <c r="G2249" i="23"/>
  <c r="D2249" i="23"/>
  <c r="G2252" i="23"/>
  <c r="D2252" i="23"/>
  <c r="G2255" i="23"/>
  <c r="D2255" i="23"/>
  <c r="G2259" i="23"/>
  <c r="G2263" i="23"/>
  <c r="G2266" i="23"/>
  <c r="G2296" i="23"/>
  <c r="G2293" i="23"/>
  <c r="G2290" i="23"/>
  <c r="G2283" i="23"/>
  <c r="D2402" i="23" l="1"/>
  <c r="G1842" i="23"/>
  <c r="D1842" i="23"/>
  <c r="G2275" i="23"/>
  <c r="D2275" i="23"/>
  <c r="G2216" i="23"/>
  <c r="G2402" i="23" l="1"/>
  <c r="G892" i="23"/>
  <c r="D892" i="23"/>
  <c r="G733" i="23" l="1"/>
  <c r="D733" i="23"/>
  <c r="G731" i="23"/>
  <c r="D731" i="23"/>
  <c r="G410" i="23" l="1"/>
  <c r="G463" i="23"/>
  <c r="G458" i="23"/>
  <c r="D458" i="23"/>
  <c r="G434" i="23"/>
  <c r="G359" i="23"/>
  <c r="G342" i="23"/>
  <c r="G439" i="23"/>
  <c r="D376" i="23"/>
  <c r="D239" i="23"/>
  <c r="D241" i="23" s="1"/>
  <c r="G177" i="23"/>
  <c r="D177" i="23"/>
  <c r="G221" i="23"/>
  <c r="D221" i="23"/>
  <c r="G216" i="23"/>
  <c r="D216" i="23"/>
  <c r="G213" i="23"/>
  <c r="D213" i="23"/>
  <c r="G210" i="23"/>
  <c r="D210" i="23"/>
  <c r="G207" i="23"/>
  <c r="D207" i="23"/>
  <c r="G204" i="23"/>
  <c r="D204" i="23"/>
  <c r="G201" i="23"/>
  <c r="D201" i="23"/>
  <c r="G198" i="23"/>
  <c r="D198" i="23"/>
  <c r="G195" i="23"/>
  <c r="D195" i="23"/>
  <c r="G192" i="23"/>
  <c r="D192" i="23"/>
  <c r="G189" i="23"/>
  <c r="D189" i="23"/>
  <c r="G186" i="23"/>
  <c r="D186" i="23"/>
  <c r="G183" i="23"/>
  <c r="D183" i="23"/>
  <c r="G180" i="23"/>
  <c r="D180" i="23"/>
  <c r="G173" i="23"/>
  <c r="D173" i="23"/>
  <c r="G170" i="23"/>
  <c r="D170" i="23"/>
  <c r="G167" i="23"/>
  <c r="D167" i="23"/>
  <c r="G164" i="23"/>
  <c r="D164" i="23"/>
  <c r="G161" i="23"/>
  <c r="D161" i="23"/>
  <c r="G158" i="23"/>
  <c r="D158" i="23"/>
  <c r="G155" i="23"/>
  <c r="D155" i="23"/>
  <c r="G152" i="23"/>
  <c r="D152" i="23"/>
  <c r="G51" i="23"/>
  <c r="D51" i="23"/>
  <c r="D133" i="23"/>
  <c r="D121" i="23"/>
  <c r="D127" i="23"/>
  <c r="D109" i="23"/>
  <c r="D103" i="23"/>
  <c r="G1257" i="23"/>
  <c r="D1257" i="23"/>
  <c r="G1254" i="23"/>
  <c r="D1254" i="23"/>
  <c r="G1251" i="23"/>
  <c r="G1247" i="23"/>
  <c r="G1243" i="23"/>
  <c r="D1243" i="23"/>
  <c r="G1240" i="23"/>
  <c r="G1236" i="23"/>
  <c r="G1232" i="23"/>
  <c r="G1229" i="23"/>
  <c r="D1229" i="23"/>
  <c r="D1227" i="23"/>
  <c r="G1225" i="23"/>
  <c r="D1225" i="23"/>
  <c r="G1222" i="23"/>
  <c r="D1222" i="23"/>
  <c r="G1220" i="23"/>
  <c r="D1220" i="23"/>
  <c r="G1218" i="23"/>
  <c r="G1214" i="23"/>
  <c r="G1210" i="23"/>
  <c r="G1206" i="23"/>
  <c r="G1202" i="23"/>
  <c r="D1202" i="23"/>
  <c r="G1199" i="23"/>
  <c r="D1199" i="23"/>
  <c r="G1196" i="23"/>
  <c r="D1196" i="23"/>
  <c r="G1193" i="23"/>
  <c r="G1189" i="23"/>
  <c r="D1189" i="23"/>
  <c r="G1186" i="23"/>
  <c r="G1182" i="23"/>
  <c r="D1182" i="23"/>
  <c r="G231" i="23" l="1"/>
  <c r="D520" i="23"/>
  <c r="D231" i="23"/>
  <c r="G1179" i="23"/>
  <c r="D1179" i="23"/>
  <c r="G1176" i="23"/>
  <c r="D1176" i="23"/>
  <c r="G1173" i="23"/>
  <c r="D1173" i="23"/>
  <c r="G1167" i="23"/>
  <c r="G1164" i="23"/>
  <c r="G1161" i="23"/>
  <c r="G1158" i="23"/>
  <c r="G1155" i="23"/>
  <c r="G1152" i="23"/>
  <c r="D1152" i="23"/>
  <c r="G1150" i="23"/>
  <c r="G1147" i="23"/>
  <c r="G1144" i="23"/>
  <c r="D1144" i="23"/>
  <c r="G1142" i="23"/>
  <c r="G1139" i="23"/>
  <c r="G1136" i="23"/>
  <c r="G1133" i="23"/>
  <c r="G1130" i="23"/>
  <c r="G1127" i="23"/>
  <c r="G1124" i="23"/>
  <c r="D1124" i="23"/>
  <c r="G1122" i="23"/>
  <c r="G1119" i="23"/>
  <c r="D1119" i="23"/>
  <c r="G1117" i="23"/>
  <c r="G1114" i="23"/>
  <c r="D1114" i="23"/>
  <c r="G1112" i="23"/>
  <c r="D1112" i="23"/>
  <c r="G1110" i="23"/>
  <c r="D1110" i="23"/>
  <c r="G1108" i="23"/>
  <c r="D1108" i="23"/>
  <c r="G1106" i="23"/>
  <c r="G1103" i="23"/>
  <c r="G1100" i="23"/>
  <c r="G1097" i="23"/>
  <c r="G1094" i="23"/>
  <c r="G1091" i="23"/>
  <c r="G1088" i="23"/>
  <c r="D1088" i="23"/>
  <c r="G1086" i="23"/>
  <c r="G1083" i="23"/>
  <c r="D1083" i="23"/>
  <c r="G1081" i="23"/>
  <c r="D1081" i="23"/>
  <c r="G1079" i="23"/>
  <c r="D1079" i="23"/>
  <c r="G901" i="23"/>
  <c r="D901" i="23"/>
  <c r="G888" i="23"/>
  <c r="D888" i="23"/>
  <c r="G879" i="23"/>
  <c r="D879" i="23"/>
  <c r="G871" i="23"/>
  <c r="D871" i="23"/>
  <c r="G862" i="23"/>
  <c r="D862" i="23"/>
  <c r="G853" i="23"/>
  <c r="D853" i="23"/>
  <c r="G845" i="23"/>
  <c r="D845" i="23"/>
  <c r="G837" i="23"/>
  <c r="D837" i="23"/>
  <c r="G829" i="23"/>
  <c r="D829" i="23"/>
  <c r="G819" i="23"/>
  <c r="D819" i="23"/>
  <c r="G809" i="23"/>
  <c r="D809" i="23"/>
  <c r="G760" i="23"/>
  <c r="G752" i="23"/>
  <c r="D752" i="23"/>
  <c r="G744" i="23"/>
  <c r="D744" i="23"/>
  <c r="G729" i="23"/>
  <c r="D729" i="23"/>
  <c r="G721" i="23"/>
  <c r="D721" i="23"/>
  <c r="G712" i="23"/>
  <c r="D712" i="23"/>
  <c r="G432" i="23"/>
  <c r="G428" i="23"/>
  <c r="G416" i="23"/>
  <c r="G413" i="23"/>
  <c r="G399" i="23"/>
  <c r="G79" i="23"/>
  <c r="D79" i="23"/>
  <c r="D85" i="23"/>
  <c r="D76" i="23"/>
  <c r="G73" i="23"/>
  <c r="D73" i="23"/>
  <c r="G70" i="23"/>
  <c r="D70" i="23"/>
  <c r="G67" i="23"/>
  <c r="D67" i="23"/>
  <c r="G59" i="23"/>
  <c r="D59" i="23"/>
  <c r="D48" i="23"/>
  <c r="G48" i="23"/>
  <c r="D40" i="23"/>
  <c r="D37" i="23"/>
  <c r="D34" i="23"/>
  <c r="D31" i="23"/>
  <c r="D28" i="23"/>
  <c r="D25" i="23"/>
  <c r="D19" i="23"/>
  <c r="D14" i="23"/>
  <c r="D11" i="23"/>
  <c r="D1259" i="23" l="1"/>
  <c r="G520" i="23"/>
  <c r="G145" i="23"/>
  <c r="G915" i="23"/>
  <c r="D145" i="23"/>
  <c r="D915" i="23"/>
  <c r="D1169" i="23"/>
  <c r="G1259" i="23"/>
  <c r="G1169" i="23"/>
  <c r="G4" i="23" l="1"/>
  <c r="D4" i="23"/>
</calcChain>
</file>

<file path=xl/sharedStrings.xml><?xml version="1.0" encoding="utf-8"?>
<sst xmlns="http://schemas.openxmlformats.org/spreadsheetml/2006/main" count="6019" uniqueCount="1362">
  <si>
    <t>№ п/п</t>
  </si>
  <si>
    <t>Наименование объекта</t>
  </si>
  <si>
    <t>г. Корсаков, ул. Первомайская, д. 37</t>
  </si>
  <si>
    <t>г. Корсаков, ул. Флотская, д. 60</t>
  </si>
  <si>
    <t>с. Зональное, ул. Строительная, д. 10</t>
  </si>
  <si>
    <t>г. Южно-Сахалинск, ул. Сахалинская, д. 55</t>
  </si>
  <si>
    <t>г. Южно-Сахалинск, ул. Чехова, д. 31</t>
  </si>
  <si>
    <t>г. Южно-Сахалинск, ул. Курильская, д. 43, лит. А</t>
  </si>
  <si>
    <t>г. Южно-Сахалинск, ул. Ленина, д. 182</t>
  </si>
  <si>
    <t>г. Углегорск, ул. Победы, д. 169, лит. А</t>
  </si>
  <si>
    <t>г. Углегорск, ул. Портовая, д. 30</t>
  </si>
  <si>
    <t>г. Углегорск, ул. Приморская, д. 15</t>
  </si>
  <si>
    <t>г. Углегорск, ул. Приморская, д. 17</t>
  </si>
  <si>
    <t>г. Углегорск, ул. Приморская, д. 45</t>
  </si>
  <si>
    <t>г. Углегорск, ул. Приморская, д. 47</t>
  </si>
  <si>
    <t>г. Углегорск, ул. Приморская, д. 49</t>
  </si>
  <si>
    <t>г. Томари, ул. Ломоносова, д. 10</t>
  </si>
  <si>
    <t>г. Томари, ул. Ломоносова, д. 22</t>
  </si>
  <si>
    <t>г. Оха, ул. Красных Партизан, д. 20</t>
  </si>
  <si>
    <t>с. Шебунино, пер. Дачный 1-й, д. 2</t>
  </si>
  <si>
    <t>г. Александровск-Сахалинский, ул. Кирова, д. 51</t>
  </si>
  <si>
    <t>г. Александровск-Сахалинский, ул. Кирова, д. 75</t>
  </si>
  <si>
    <t>с. Мгачи, ул. Первомайская, д. 30</t>
  </si>
  <si>
    <t>с. Мгачи, ул. Первомайская, д. 52, лит. А</t>
  </si>
  <si>
    <t>с. Михайловка, пер. Клубный, д. 7, лит. А</t>
  </si>
  <si>
    <t>с. Михайловка, ул. Первомайская, д. 6</t>
  </si>
  <si>
    <t>г. Шахтерск, ул. Ленина, д. 11</t>
  </si>
  <si>
    <t>г. Шахтерск, ул. Ленина, д. 5</t>
  </si>
  <si>
    <t>г. Шахтерск, ул. Ленина, д. 7</t>
  </si>
  <si>
    <t>г. Шахтерск, ул. Ленина, д. 9</t>
  </si>
  <si>
    <t>г. Поронайск, ул. Невельская, д. 56</t>
  </si>
  <si>
    <t>г. Поронайск, ул. Сахалинская, д. 1</t>
  </si>
  <si>
    <t>г. Южно-Сахалинск, пр-кт Коммунистический, д. 74</t>
  </si>
  <si>
    <t>г. Южно-Сахалинск, ул. Имени Антона Буюклы, д. 78</t>
  </si>
  <si>
    <t>Теплоснабжение</t>
  </si>
  <si>
    <t>Водоснабжение</t>
  </si>
  <si>
    <t>Водоотведение</t>
  </si>
  <si>
    <t>ПСД</t>
  </si>
  <si>
    <t>Электроснабжение</t>
  </si>
  <si>
    <t>с. Огоньки, ул. Школьная, д. 18, лит. А</t>
  </si>
  <si>
    <t>г. Южно-Сахалинск, п/р. Луговое, ул. Дружбы, д. 6</t>
  </si>
  <si>
    <t>г. Александровск-Сахалинский, ул. Герцена, д. 2, лит. Б</t>
  </si>
  <si>
    <t>г. Александровск-Сахалинский, ул. Тимирязева, д. 1</t>
  </si>
  <si>
    <t>г. Александровск-Сахалинский, ул. Тимирязева, д. 2</t>
  </si>
  <si>
    <t>с. Михайловка, пер. Клубный, д. 6, лит. А</t>
  </si>
  <si>
    <t>с. Михайловка, пер. Клубный, д.7</t>
  </si>
  <si>
    <t>с. Михайловка, ул. Первомайская, д. 4</t>
  </si>
  <si>
    <t>г. Александровск-Сахалинский, ул. Тимирязева, д. 2, лит. А</t>
  </si>
  <si>
    <t>г. Александровск-Сахалинский, ул. Тимирязева, д. 3</t>
  </si>
  <si>
    <t>г. Александровск-Сахалинский, ул. Тимирязева, д. 4 лит. А</t>
  </si>
  <si>
    <t>г. Александровск-Сахалинский, ул. Дзержинского, д. 2</t>
  </si>
  <si>
    <t>г. Александровск-Сахалинский, ул. Ленина, д. 8</t>
  </si>
  <si>
    <t>с. Мгачи, ул. Ново – Мгачинская, д. 13</t>
  </si>
  <si>
    <t>с. Мгачи, ул. Советская, д. 24</t>
  </si>
  <si>
    <t>с. Мгачи, ул. Советская, д. 28</t>
  </si>
  <si>
    <t>г. Александровск-Сахалинский, ул. Кондрашкина, д. 17</t>
  </si>
  <si>
    <t>г. Александровск-Сахалинский, ул. Ленина, д. 11</t>
  </si>
  <si>
    <t>г. Александровск-Сахалинский, ул. Смирных, д. 9</t>
  </si>
  <si>
    <t>г. Анива, ул. Дьяконова, д. 17</t>
  </si>
  <si>
    <t>г. Анива, ул. Кирова, д. 34</t>
  </si>
  <si>
    <t>г. Анива, ул. Октябрьская, д. 21</t>
  </si>
  <si>
    <t>с. Таранай, ул. Новая, д. 1</t>
  </si>
  <si>
    <t>с. Таранай, ул. Центральная, д. 7, лит. Б</t>
  </si>
  <si>
    <t>с. Троицкое, ул. Советская, д. 5</t>
  </si>
  <si>
    <t>г. Анива, ул. Кирова, д. 32</t>
  </si>
  <si>
    <t>г. Анива, ул. Кирова, д. 36</t>
  </si>
  <si>
    <t>г. Анива, ул. Кирова, д. 6</t>
  </si>
  <si>
    <t>г. Анива, ул. Кирова, д. 8</t>
  </si>
  <si>
    <t>г. Анива, ул. Ленина, д. 21</t>
  </si>
  <si>
    <t>г. Анива, ул. Ленина, д. 47</t>
  </si>
  <si>
    <t>г. Анива, ул. Октябрьская, д. 24</t>
  </si>
  <si>
    <t>с. Мицулевка, ул. Железнодорожная, д. 4</t>
  </si>
  <si>
    <t>с. Огоньки, ул. Школьная, д. 4, лит. А</t>
  </si>
  <si>
    <t>с. Таранай, ул. Совхозная, д. 6</t>
  </si>
  <si>
    <t>с. Троицкое, ул. Молодежная, д. 16</t>
  </si>
  <si>
    <t>с. Троицкое, ул. Центральная, д. 32</t>
  </si>
  <si>
    <t>с. Троицкое, ул. Центральная, д. 36</t>
  </si>
  <si>
    <t>пгт. Бошняково, ул. Новостройка, д. 21</t>
  </si>
  <si>
    <t>г. Долинск, ул. Вилкова, д. 1</t>
  </si>
  <si>
    <t>г. Долинск, ул. Владивостокская, д. 24</t>
  </si>
  <si>
    <t>г. Долинск, ул. Ленина, д. 21</t>
  </si>
  <si>
    <t>г. Долинск, ул. Пионерская, д. 13</t>
  </si>
  <si>
    <t>с. Сокол, ул. Чкалова, д. 32</t>
  </si>
  <si>
    <t>с. Углезаводск, ул. Новая, д. 12</t>
  </si>
  <si>
    <t>с. Углезаводск, ул. Торговая, д. 4, лит. Б</t>
  </si>
  <si>
    <t>с. Быков, ул. Горняцкая, д. 5, лит. А</t>
  </si>
  <si>
    <t>с. Быков, ул. Горняцкая, д. 5, лит. Б</t>
  </si>
  <si>
    <t>с. Быков, ул. Шахтерская, д. 12</t>
  </si>
  <si>
    <t>с. Быков, ул. Шахтерская, д. 14</t>
  </si>
  <si>
    <t>с. Стародубское, ул. Лобанова, д. 3, лит. А</t>
  </si>
  <si>
    <t>с. Стародубское, ул. Лобанова, д. 5, лит. А</t>
  </si>
  <si>
    <t>с. Стародубское, ул. Мухина, д. 6</t>
  </si>
  <si>
    <t>с. Стародубское, ул. Набережная, д. 27</t>
  </si>
  <si>
    <t>с. Сокол, ул. Железнодорожная, д. 5</t>
  </si>
  <si>
    <t>с. Сокол, ул. Железнодорожная, д. 3</t>
  </si>
  <si>
    <t>г. Долинск, ул. Пионерская, д. 2, лит. Б</t>
  </si>
  <si>
    <t>г. Корсаков,  б-р Приморский, д. 12</t>
  </si>
  <si>
    <t>г. Корсаков,  б-р Приморский, д. 8</t>
  </si>
  <si>
    <t>г. Корсаков,  б-р Приморский, д. 9</t>
  </si>
  <si>
    <t>г. Корсаков, б-р Приморский, д. 10</t>
  </si>
  <si>
    <t>г. Корсаков, ул. Гвардейская, д. 97</t>
  </si>
  <si>
    <t>г. Корсаков, ул. Корсаковская, д. 28</t>
  </si>
  <si>
    <t>г. Корсаков, ул. Корсаковская, д. 32</t>
  </si>
  <si>
    <t>г. Корсаков, ул. Лермонтова, д. 3</t>
  </si>
  <si>
    <t>г. Корсаков, ул. Морская, д. 2</t>
  </si>
  <si>
    <t>г. Корсаков, ул. Нагорная, д. 5 корп. 1</t>
  </si>
  <si>
    <t>г. Корсаков, ул. Нагорная, д. 60</t>
  </si>
  <si>
    <t>г. Корсаков, ул. Нагорная, д. 60, лит. А</t>
  </si>
  <si>
    <t>г. Корсаков, ул. Нагорная, д. 62</t>
  </si>
  <si>
    <t xml:space="preserve">г. Корсаков, ул. Нагорная, д. 64 </t>
  </si>
  <si>
    <t>г. Корсаков, ул. Нагорная, д. 64 лит. Б</t>
  </si>
  <si>
    <t>г. Корсаков, ул. Нагорная, д. 68, лит. В</t>
  </si>
  <si>
    <t>г. Корсаков, ул. Невельская, д. 18</t>
  </si>
  <si>
    <t>г. Корсаков, ул. Окружная, д. 9</t>
  </si>
  <si>
    <t>г. Корсаков, ул. Первомайская, д. 51</t>
  </si>
  <si>
    <t>г. Корсаков, ул. Парковая, д. 11</t>
  </si>
  <si>
    <t>г. Корсаков, ул. Флотская, д. 15</t>
  </si>
  <si>
    <t>г. Корсаков, ул. Флотская, д. 60, лит. А</t>
  </si>
  <si>
    <t>г. Корсаков, ул. Флотская, д. 62, лит. А</t>
  </si>
  <si>
    <t>г. Корсаков, ул. Флотская, д. 62, лит. Б</t>
  </si>
  <si>
    <t>с. Соловьевка, ул. Новая, д. 8</t>
  </si>
  <si>
    <t>с. Соловьевка, ул. Центральная, д. 32</t>
  </si>
  <si>
    <t>г. Корсаков, б-р. Приморский, д. 5, корп. 1</t>
  </si>
  <si>
    <t>г. Корсаков, ул. Гвардейская, д. 95</t>
  </si>
  <si>
    <t>г. Корсаков, ул. Корсаковская, д. 146</t>
  </si>
  <si>
    <t>г. Корсаков, ул. Корсаковская, д. 36</t>
  </si>
  <si>
    <t>г. Корсаков, ул. Корсаковская, д. 44</t>
  </si>
  <si>
    <t>г. Корсаков, ул. Парковая, д. 13</t>
  </si>
  <si>
    <t>г. Корсаков, ул. Парковая, д. 15, корп. 1</t>
  </si>
  <si>
    <t>г. Корсаков, ул. Парковая, д. 9</t>
  </si>
  <si>
    <t>г. Корсаков, ул. Пролетарская, д. 10</t>
  </si>
  <si>
    <t>г. Корсаков, ул. Свердлова, д. 71</t>
  </si>
  <si>
    <t>г. Корсаков, ул. Серафимовича, д. 35, лит. А</t>
  </si>
  <si>
    <t>г. Корсаков, ул. Советская, д. 34</t>
  </si>
  <si>
    <t>г. Корсаков, ул. Советская, д. 53</t>
  </si>
  <si>
    <t>г. Корсаков, ул. Советская, д. 55</t>
  </si>
  <si>
    <t>г. Корсаков, ул. Федько, д. 6</t>
  </si>
  <si>
    <t>г. Корсаков, ул. Флотская, д. 17</t>
  </si>
  <si>
    <t>г. Корсаков, ул. Флотская, д. 53</t>
  </si>
  <si>
    <t>г. Корсаков, ул. Флотская, д. 53, корп. 1</t>
  </si>
  <si>
    <t>г. Корсаков, ул. Чапаева, д. 3, лит. А</t>
  </si>
  <si>
    <t>с. Охотское, ул. Лесная, д. 14</t>
  </si>
  <si>
    <t>с. Раздольное, ул. Окружная, д. 14</t>
  </si>
  <si>
    <t>г. Корсаков, ул. Окружная, д. 118, лит. Б</t>
  </si>
  <si>
    <t>с. Соловьевка, ул. Центральная, д. 29</t>
  </si>
  <si>
    <t>с. Чапаево, ул. Центральная, д. 11</t>
  </si>
  <si>
    <t>г. Курильск, ул. 60 лет Октября, д. 2</t>
  </si>
  <si>
    <t>г. Курильск, ул. 60 лет Октября, д. 3</t>
  </si>
  <si>
    <t>г. Курильск, ул. 60 лет Октября, д. 8</t>
  </si>
  <si>
    <t>г. Курильск, ул. 60 лет Октября, д. 9</t>
  </si>
  <si>
    <t>г. Курильск, ул. Заречная, д. 3</t>
  </si>
  <si>
    <t>г. Курильск, ул. Заречная, д. 5</t>
  </si>
  <si>
    <t>г. Макаров, ул. Ильичева, д. 2</t>
  </si>
  <si>
    <t>г. Макаров, ул. Милютина, д. 28</t>
  </si>
  <si>
    <t>г. Макаров, ул. Хабаровская, д. 11</t>
  </si>
  <si>
    <t>г. Макаров, ул. Ильичева, д. 13</t>
  </si>
  <si>
    <t>г. Макаров, ул. 50 лет ВЛКСМ, д. 1</t>
  </si>
  <si>
    <t>г. Невельск, ул. Вакканай, д. 6</t>
  </si>
  <si>
    <t>г. Невельск, ул. Победы, д. 14</t>
  </si>
  <si>
    <t>г. Невельск, ул. Победы, д. 19</t>
  </si>
  <si>
    <t>г. Невельск, ул. Советская, д. 3</t>
  </si>
  <si>
    <t>г. Невельск, ул. Советская, д. 5</t>
  </si>
  <si>
    <t>г. Невельск, ул. Чехова, д. 20</t>
  </si>
  <si>
    <t>г. Невельск, ул. Школьная, д. 95, лит. А</t>
  </si>
  <si>
    <t>г. Невельск, ул. Яна Фабрициуса, д. 53</t>
  </si>
  <si>
    <t>с. Горнозаводск, ул. Центральная, д. 98</t>
  </si>
  <si>
    <t>с. Горнозаводск, ул. Шахтовая, д. 13</t>
  </si>
  <si>
    <t>с. Шебунино, ул. Дачная, д. 5</t>
  </si>
  <si>
    <t>г. Невельск, ул. Железнодорожная, д. 49</t>
  </si>
  <si>
    <t>г. Невельск, ул. Железнодорожная, д. 51</t>
  </si>
  <si>
    <t>г. Невельск, ул. Школьная, д. 93</t>
  </si>
  <si>
    <t>с. Горнозаводск, ул. Советская, д. 61, лит. А</t>
  </si>
  <si>
    <t>г. Невельск, ул. Школьная, д. 89</t>
  </si>
  <si>
    <t>пгт. Ноглики, ул. 15 Мая, д. 36, лит. А</t>
  </si>
  <si>
    <t>пгт. Ноглики, ул. 15 Мая, д. 36, лит. Б</t>
  </si>
  <si>
    <t>пгт. Ноглики, ул. Н. Репина, д. 5</t>
  </si>
  <si>
    <t>пгт. Ноглики, ул. Пограничная, д. 1</t>
  </si>
  <si>
    <t>пгт. Ноглики, ул. Комсомольская, д. 39</t>
  </si>
  <si>
    <t xml:space="preserve">пгт. Ноглики, ул. Советская, д. 61 </t>
  </si>
  <si>
    <t>пгт. Ноглики, ул. Академика Штернберга, д. 4, лит. А</t>
  </si>
  <si>
    <t xml:space="preserve"> г. Оха, ул. 50 лет Октября, д. 25, корп. 8</t>
  </si>
  <si>
    <t xml:space="preserve"> г. Оха, ул. 50 лет Октября, д. 28</t>
  </si>
  <si>
    <t xml:space="preserve"> г. Оха, ул. 50 лет Октября, д. 28, корп. 1</t>
  </si>
  <si>
    <t>c. Москальво. ул. Советская. д. 53</t>
  </si>
  <si>
    <t>c. Москальво. ул. Советская. д. 54</t>
  </si>
  <si>
    <t>г. Оха, ул. 50 лет Октября, д. 25, корп. 9</t>
  </si>
  <si>
    <t>г. Оха, ул. 50 лет Октября, д. 28, корп. 7</t>
  </si>
  <si>
    <t>г. Оха, ул. 50 лет Октября, д. 30, корп. 1</t>
  </si>
  <si>
    <t>г. Оха, ул. 60 лет СССР, д. 17</t>
  </si>
  <si>
    <t>г. Оха, ул. 60 лет СССР, д. 36</t>
  </si>
  <si>
    <t>г. Оха, ул. Дзержинского, д. 24</t>
  </si>
  <si>
    <t>г. Оха, ул. Охотская, д. 7</t>
  </si>
  <si>
    <t>г. Оха, уч-к. 2-й, д. 1, лит. А</t>
  </si>
  <si>
    <t>г. Оха, уч-к. 2-й, д. 2, лит. А</t>
  </si>
  <si>
    <t>г. Оха, уч-к. 2-й, д. 3, лит. А</t>
  </si>
  <si>
    <t>г. Оха, уч-к. 2-й, д. 4, лит. А</t>
  </si>
  <si>
    <t>с. Восточное, ул. Береговая, д. 11</t>
  </si>
  <si>
    <t>с. Восточное, ул. Береговая, д. 13</t>
  </si>
  <si>
    <t>с. Восточное, ул. Береговая, д. 15</t>
  </si>
  <si>
    <t>с. Восточное, ул. Береговая, д. 7</t>
  </si>
  <si>
    <t>с. Восточное, ул. Береговая, д. 9</t>
  </si>
  <si>
    <t>с. Восточное, ул. Школьная, д. 8, лит. А</t>
  </si>
  <si>
    <t>с. Москальво, ул. Советская, д. 56</t>
  </si>
  <si>
    <t xml:space="preserve">г. Оха, ул. Красноармейская, д. 14 </t>
  </si>
  <si>
    <t>г. Оха, ул. 60 лет СССР, д. 38, корп. 1</t>
  </si>
  <si>
    <t>г. Оха, ул. 60 лет СССР, д. 36, корп. 1</t>
  </si>
  <si>
    <t>г. Оха, ул. Дзержинского, д. 31</t>
  </si>
  <si>
    <t>г. Оха, ул. 60 лет СССР, д. 36, корп. 2</t>
  </si>
  <si>
    <t>г. Оха, ул. 60 лет СССР, д. 38</t>
  </si>
  <si>
    <t>г. Оха, ул. 60 лет СССР, д. 38, корп. 3</t>
  </si>
  <si>
    <t>г. Оха, п/р. Лагури, ул. Ленина, д. 17</t>
  </si>
  <si>
    <t>г. Поронайск, ул. Дружбы, д. 1</t>
  </si>
  <si>
    <t>г. Поронайск, ул. Ленина, д. 18</t>
  </si>
  <si>
    <t>г. Поронайск, ул. Молодежная, д. 10</t>
  </si>
  <si>
    <t>г. Поронайск, ул. Молодежная, д. 8</t>
  </si>
  <si>
    <t>г. Поронайск, ул. Октябрьская, д. 6</t>
  </si>
  <si>
    <t>г. Поронайск, ул. Сахалинская, д. 27</t>
  </si>
  <si>
    <t>г. Поронайск, ул. Сахалинская, д. 5</t>
  </si>
  <si>
    <t>пгт. Вахрушев, ул. Речная, д. 13</t>
  </si>
  <si>
    <t>пгт. Вахрушев, ул. Речная, д. 14</t>
  </si>
  <si>
    <t>пгт. Вахрушев, ул. Центральная, д. 85</t>
  </si>
  <si>
    <t>г. Поронайск, ул. Октябрьская, д. 75</t>
  </si>
  <si>
    <t>г. Поронайск, пер. Советский, д. 3</t>
  </si>
  <si>
    <t>г. Поронайск, ул. 40 лет ВЛКСМ, д. 18</t>
  </si>
  <si>
    <t>г. Северо-Курильск, ул. 60 лет Октября, д. 10</t>
  </si>
  <si>
    <t>г. Северо-Курильск, ул. 60 лет Октября, д. 12</t>
  </si>
  <si>
    <t>г. Северо-Курильск, ул. 60 лет Октября, д. 15</t>
  </si>
  <si>
    <t>г. Северо-Курильск, ул. 60 лет Октября, д. 7, лит. А</t>
  </si>
  <si>
    <t>г. Северо-Курильск, ул. Вилкова, д. 7, лит. Б</t>
  </si>
  <si>
    <t>г. Северо-Курильск, ул. Сахалинская, д. 44, лит. А</t>
  </si>
  <si>
    <t>г. Северо-Курильск, ул. Сахалинская, д. 46, лит. А</t>
  </si>
  <si>
    <t>г. Северо-Курильск, ул. Сахалинская, д. 73, лит. А</t>
  </si>
  <si>
    <t>г. Северо-Курильск, ул. Шутова,  д. 1</t>
  </si>
  <si>
    <t>г. Северо-Курильск, ул. Шутова,  д.20</t>
  </si>
  <si>
    <t>г. Северо-Курильск, ул. Шутова, д. 4</t>
  </si>
  <si>
    <t>г. Северо-Курильск, ул. Шутова, д. 4, лит. А</t>
  </si>
  <si>
    <t>г. Северо-Курильск, ул. 60 лет Октября, д. 14</t>
  </si>
  <si>
    <t>г. Северо-Курильск, ул. Сахалинская, д. 77</t>
  </si>
  <si>
    <t>пгт. Смирных, ул. 3 микрорайон, д. 16</t>
  </si>
  <si>
    <t>пгт. Смирных, ул. 3 микрорайон, д. 20</t>
  </si>
  <si>
    <t>пгт. Смирных, ул. 3 микрорайон, д. 1, лит. Б</t>
  </si>
  <si>
    <t>пгт. Смирных, ул. 60 лет СССР, д. 6</t>
  </si>
  <si>
    <t>пгт. Смирных, ул. Западная, д. 10</t>
  </si>
  <si>
    <t>пгт. Смирных, ул. Западная, д. 10, корп. 2</t>
  </si>
  <si>
    <t>пгт. Смирных, ул. Западная, д. 10, корп. 3</t>
  </si>
  <si>
    <t>пгт. Смирных, ул. Западная, д. 11</t>
  </si>
  <si>
    <t>пгт. Смирных, ул. Западная, д. 6</t>
  </si>
  <si>
    <t>пгт. Смирных, ул. Ленина, д. 55</t>
  </si>
  <si>
    <t>пгт. Смирных, ул. Чехова, д. 17</t>
  </si>
  <si>
    <t>пгт. Смирных, ул. Чехова, д. 21, лит. А</t>
  </si>
  <si>
    <t>пгт. Смирных, ул. Чехова, д. 25</t>
  </si>
  <si>
    <t>пгт. Смирных, ул. Чехова, д. 27</t>
  </si>
  <si>
    <t>пгт. Смирных, ул. Чехова, д. 11, лит. А</t>
  </si>
  <si>
    <t>пгт. Смирных, ул. Чехова, д. 9</t>
  </si>
  <si>
    <t>пгт. Смирных, ул. Пирогова, д. 14</t>
  </si>
  <si>
    <t>с. Онор, ул. Суворова, д. 2, лит. А</t>
  </si>
  <si>
    <t>пгт. Смирных, ул. Пирогова, д. 16</t>
  </si>
  <si>
    <t>пгт. Смирных, ул. Чехова, д. 1, лит. А</t>
  </si>
  <si>
    <t>пгт. Смирных, ул. Чехова, д. 19</t>
  </si>
  <si>
    <t>пгт. Смирных, ул. Горького, д. 18</t>
  </si>
  <si>
    <t>пгт. Смирных, ул. Западная, д. 4</t>
  </si>
  <si>
    <t>пгт. Смирных, ул. Горького, д. 20</t>
  </si>
  <si>
    <t>пгт. Смирных, ул. Западная, д. 8</t>
  </si>
  <si>
    <t>с. Красногорск, ул. Калинина, д. 15</t>
  </si>
  <si>
    <t>с. Красногорск, ул. Калинина, д. 18</t>
  </si>
  <si>
    <t>с. Красногорск, ул. Карла Маркса, д. 114, лит. А</t>
  </si>
  <si>
    <t>с. Красногорск, ул. Карла Маркса, д. 40</t>
  </si>
  <si>
    <t>с. Красногорск, ул. Карла Маркса, д. 84</t>
  </si>
  <si>
    <t>г. Томари, ул. Садовая, д. 43</t>
  </si>
  <si>
    <t>г. Томари, ул. Ломоносова, д. 4, лит. А</t>
  </si>
  <si>
    <t>г. Томари, ул. Новая, д. 3</t>
  </si>
  <si>
    <t>г. Томари, ул. Садовая, д. 40</t>
  </si>
  <si>
    <t>г. Томари, ул. Юбилейная, д. 3</t>
  </si>
  <si>
    <t>г. Томари, ул. Юбилейная, д. 11</t>
  </si>
  <si>
    <t>г. Томари, ул. Юбилейная, д. 25, лит. А</t>
  </si>
  <si>
    <t>г. Томари, ул. Юбилейная, д. 27</t>
  </si>
  <si>
    <t>с. Красногорск, ул. Карла Маркса, д. 100</t>
  </si>
  <si>
    <t>с. Пензенское, ул. Вокзальная, д. 1</t>
  </si>
  <si>
    <t>с. Черемшанка, ул. Ленина, д. 1, лит. А</t>
  </si>
  <si>
    <t>с. Черемшанка, ул. Ленина, д. 2, лит. А</t>
  </si>
  <si>
    <t>пгт. Тымовское, ул. Библиотечная, ул. 6, лит. А</t>
  </si>
  <si>
    <t>пгт. Тымовское, ул. Харитонова, д. 18</t>
  </si>
  <si>
    <t>пгт. Тымовское, ул. Харитонова, д. 19</t>
  </si>
  <si>
    <t>пгт. Тымовское, ул. Харитонова, д. 20</t>
  </si>
  <si>
    <t>с. Адо-Тымово, ул. Новая, д. 1</t>
  </si>
  <si>
    <t>с. Адо-Тымово, ул. Новая, д. 2</t>
  </si>
  <si>
    <t>с. Адо-Тымово, ул. Новая, д. 3</t>
  </si>
  <si>
    <t>с. Кировское, ул. Центральная, д. 63</t>
  </si>
  <si>
    <t>пгт. Тымовское, ул. Библиотечная, д. 4</t>
  </si>
  <si>
    <t>пгт. Тымовское, ул. Библиотечная, д. 4, лит. А</t>
  </si>
  <si>
    <t>пгт. Тымовское, ул. Красноармейская, д. 12</t>
  </si>
  <si>
    <t>пгт. Тымовское, ул. Кировская, д. 91, лит. А</t>
  </si>
  <si>
    <t>пгт. Тымовское, ул. Новая, д. 10</t>
  </si>
  <si>
    <t>с. Воскресеновка, ул. Школьная, д. 3</t>
  </si>
  <si>
    <t>с. Зональное, ул. Строительная, д. 13</t>
  </si>
  <si>
    <t>г. Углегорск, ул. 8 Марта, д. 22</t>
  </si>
  <si>
    <t>г. Углегорск, ул. Бошняка, д. 8</t>
  </si>
  <si>
    <t>г. Углегорск, ул. Комсомольская, д. 2</t>
  </si>
  <si>
    <t>г. Углегорск, ул. Комсомольская, д. 4</t>
  </si>
  <si>
    <t>г. Углегорск, ул. Пионерская, д. 2</t>
  </si>
  <si>
    <t>г. Углегорск, ул. Победы, д. 140</t>
  </si>
  <si>
    <t>г. Углегорск, ул. Победы, д. 146</t>
  </si>
  <si>
    <t>г. Углегорск, ул. Победы, д. 148</t>
  </si>
  <si>
    <t>г. Углегорск, ул. Победы, д. 150</t>
  </si>
  <si>
    <t>г. Углегорск, ул. Победы, д. 152</t>
  </si>
  <si>
    <t>г. Углегорск, ул. Победы, д. 172</t>
  </si>
  <si>
    <t>г. Углегорск, ул. Приморская, д. 19</t>
  </si>
  <si>
    <t>г. Углегорск, ул. Родниковая, д. 6</t>
  </si>
  <si>
    <t>г. Холмск, ул. Победы, д. 22</t>
  </si>
  <si>
    <t>г. Холмск, ул. Советская, д. 107</t>
  </si>
  <si>
    <t>г. Холмск, ул. Советская, д. 134</t>
  </si>
  <si>
    <t>г. Холмск, ул. Советская, д. 67</t>
  </si>
  <si>
    <t>г. Холмск, ул. Советская, д. 77</t>
  </si>
  <si>
    <t>г. Холмск, ул. Советская, д. 79</t>
  </si>
  <si>
    <t>г. Холмск, ул. Советская, д. 88</t>
  </si>
  <si>
    <t>г. Холмск, ул. Советская, д. 96</t>
  </si>
  <si>
    <t>с. Чехов, ул. Северная, д. 26</t>
  </si>
  <si>
    <t>с. Костромское, ул. Огородная, д. 4, лит. А</t>
  </si>
  <si>
    <t>г. Холмск, ул. Чехова, д. 70</t>
  </si>
  <si>
    <t>г. Холмск, ул. Волкова, д. 20</t>
  </si>
  <si>
    <t>г. Холмск, пер. Восточный, д. 33</t>
  </si>
  <si>
    <t>г. Холмск, ул. Победы, д. 30</t>
  </si>
  <si>
    <t>г. Холмск, ул. 60 лет Октября, д. 5</t>
  </si>
  <si>
    <t>с. Чехов, ул. Северная, д. 38</t>
  </si>
  <si>
    <t>с. Чехов, ул. Парковая, д. 29</t>
  </si>
  <si>
    <t>с. Чехов, ул. Первомайская, д. 4</t>
  </si>
  <si>
    <t>с. Чехов, ул. Первомайская, д. 1</t>
  </si>
  <si>
    <t>г. Холмск, ул. Комсомольская, д. 8</t>
  </si>
  <si>
    <t>г. Холмск, ул. Школьная, д. 60, лит. А</t>
  </si>
  <si>
    <t>г. Холмск, ул. Героев, д. 1</t>
  </si>
  <si>
    <t>г. Холмск, ул. Героев, д. 7</t>
  </si>
  <si>
    <t>г. Холмск, ул. Героев, д. 9</t>
  </si>
  <si>
    <t>с. Правда, ул. Речная, д. 49</t>
  </si>
  <si>
    <t>с. Правда, ул. Речная, д. 55</t>
  </si>
  <si>
    <t>с. Правда, ул. Школьная, д. 24, лит. А</t>
  </si>
  <si>
    <t>с. Правда, ул. Школьная, д. 26, лит. А</t>
  </si>
  <si>
    <t>г. Шахтерск, ул. Интернациональная, д. 25</t>
  </si>
  <si>
    <t>г. Шахтерск, ул. Интернациональная, д. 7</t>
  </si>
  <si>
    <t>г. Шахтерск, ул. Интернациональная, д. 8</t>
  </si>
  <si>
    <t xml:space="preserve">г. Шахтерск, ул. Ленина, д. 16 </t>
  </si>
  <si>
    <t>г. Шахтерск, ул. Октябрьская, д. 13</t>
  </si>
  <si>
    <t>г. Шахтерск, ул. Мира, д. 24</t>
  </si>
  <si>
    <t>г. Шахтерск, ул. Коммунистическая, д. 5</t>
  </si>
  <si>
    <t>г. Шахтерск, ул. Коммунистическая, д. 6</t>
  </si>
  <si>
    <t>г. Шахтерск, ул. Ленина, д. 17</t>
  </si>
  <si>
    <t>г. Шахтерск, ул. Мира, д. 1</t>
  </si>
  <si>
    <t>г. Шахтерск, ул. Мира, д. 12, лит. А</t>
  </si>
  <si>
    <t>г. Шахтерск, ул. Мира, д. 13</t>
  </si>
  <si>
    <t>г. Шахтерск, ул. Мира, д. 21</t>
  </si>
  <si>
    <t>г. Шахтерск, ул. Мира, д. 23</t>
  </si>
  <si>
    <t>г. Шахтерск, ул.Интернациональная, д. 2</t>
  </si>
  <si>
    <t>г. Шахтерск, ул.Интернациональная, д. 18</t>
  </si>
  <si>
    <t>г. Шахтерск, ул. Кирпичная, д. 23</t>
  </si>
  <si>
    <t>г. Шахтерск, ул. Кирпичная, д. 27</t>
  </si>
  <si>
    <t>г. Шахтерск, ул. Ленина, д. 14</t>
  </si>
  <si>
    <t>г. Шахтерск, ул. Ленина, д. 20</t>
  </si>
  <si>
    <t>пгт. Южно-Курильск, пр-кт Курильский, д. 15</t>
  </si>
  <si>
    <t>пгт. Южно-Курильск, ул. 60 лет ВЛКСМ, д. 5</t>
  </si>
  <si>
    <t>пгт. Южно-Курильск, ул. 60 лет ВЛКСМ, д. 7</t>
  </si>
  <si>
    <t>пгт. Южно-Курильск, пр-т Курильский, д.7</t>
  </si>
  <si>
    <t>пгт. Южно-Курильск, ул. Победы, д.17</t>
  </si>
  <si>
    <t>с. Крабозаводское, ул. Строительная, д. 1</t>
  </si>
  <si>
    <t>с. Малокурильское, ул. Терешкова, д. 2</t>
  </si>
  <si>
    <t>с. Малокурильское, ул. Черемушки, д. 12, лит. А</t>
  </si>
  <si>
    <t>с. Малокурильское, ул. Строительная, д. 30</t>
  </si>
  <si>
    <t>г. Южно-Сахалинск, б-р. им Анкудинова Федора Степановича, д. 11</t>
  </si>
  <si>
    <t>г. Южно-Сахалинск, б-р. им Анкудинова Федора Степановича, д. 9</t>
  </si>
  <si>
    <t>г. Южно-Сахалинск, п/р. Луговое, ул. 2-я Железнодорожная, д. 37</t>
  </si>
  <si>
    <t>г. Южно-Сахалинск, п/р. Луговое, ул. 2-я Набережная, д. 74</t>
  </si>
  <si>
    <t>г. Южно-Сахалинск, п/р. Луговое, ул. Дружбы, д. 1</t>
  </si>
  <si>
    <t>г. Южно-Сахалинск, п/р. Луговое, ул. Дружбы, д. 38</t>
  </si>
  <si>
    <t>г. Южно-Сахалинск, п/р. Луговое, ул. Дружбы, д. 93</t>
  </si>
  <si>
    <t>г. Южно-Сахалинск, п/р. Луговое, ул. Дружбы, д. 95</t>
  </si>
  <si>
    <t>г. Южно-Сахалинск, п/р. Луговое, ул. Дружбы, д. 96</t>
  </si>
  <si>
    <t>г. Южно-Сахалинск, п/р. Луговое, ул. Дружбы, д. 97</t>
  </si>
  <si>
    <t>г. Южно-Сахалинск, п/р. Луговое, ул. Дружбы, д. 98</t>
  </si>
  <si>
    <t>г. Южно-Сахалинск, п/р. Луговое, ул. Дружбы, д. 99</t>
  </si>
  <si>
    <t>г. Южно-Сахалинск, п/р. Луговое, ул. имени В.Гайдука, д. 1, лит. В</t>
  </si>
  <si>
    <t>г. Южно-Сахалинск, п/р. Луговое, ул. имени В.Гайдука, д. 50</t>
  </si>
  <si>
    <t>г. Южно-Сахалинск, п/р. Луговое, ул. Комарова, д. 3</t>
  </si>
  <si>
    <t>г. Южно-Сахалинск, п/р. Ново-Александровск, пер. Горького, д. 10</t>
  </si>
  <si>
    <t>г. Южно-Сахалинск, п/р. Ново-Александровск, пер. Горького, д. 10, лит. А</t>
  </si>
  <si>
    <t>г. Южно-Сахалинск, п/р. Ново-Александровск, пер. Горького, д. 12</t>
  </si>
  <si>
    <t>г. Южно-Сахалинск, п/р. Ново-Александровск, пер. Горького, д. 18</t>
  </si>
  <si>
    <t>г. Южно-Сахалинск, п/р. Ново-Александровск, пер. Железнодорожный, д. 13, лит. А</t>
  </si>
  <si>
    <t>г. Южно-Сахалинск, п/р. Ново-Александровск, пер. Железнодорожный, д. 2, лит. А</t>
  </si>
  <si>
    <t>г. Южно-Сахалинск, п/р. Ново-Александровск, пер. Железнодорожный, д. 3, лит. В</t>
  </si>
  <si>
    <t>г. Южно-Сахалинск, п/р. Ново-Александровск, ул. 2-я Красносельская, д. 32</t>
  </si>
  <si>
    <t>г. Южно-Сахалинск, п/р. Ново-Александровск, ул. 30 лет Победы, д. 10</t>
  </si>
  <si>
    <t>г. Южно-Сахалинск, п/р. Ново-Александровск, ул. 30 лет Победы, д. 10, лит. А</t>
  </si>
  <si>
    <t>г. Южно-Сахалинск, п/р. Ново-Александровск, ул. 30 лет Победы, д. 5, лит. А</t>
  </si>
  <si>
    <t>г. Южно-Сахалинск, п/р. Ново-Александровск, ул. 30 лет Победы, д. 5, лит. В</t>
  </si>
  <si>
    <t>г. Южно-Сахалинск, п/р. Ново-Александровск, ул. 30 лет Победы, д. 7</t>
  </si>
  <si>
    <t>г. Южно-Сахалинск, п/р. Ново-Александровск, ул. Восточная, д. 17</t>
  </si>
  <si>
    <t>г. Южно-Сахалинск, п/р. Ново-Александровск, ул. Восточная, д. 26</t>
  </si>
  <si>
    <t>г. Южно-Сахалинск, п/р. Ново-Александровск, ул. Науки, д. 5</t>
  </si>
  <si>
    <t>г. Южно-Сахалинск, п/р. Ново-Александровск, ул. Советская, д. 1</t>
  </si>
  <si>
    <t>г. Южно-Сахалинск, пер. Ангарский, д. 4</t>
  </si>
  <si>
    <t>г. Южно-Сахалинск, пер. Ангарский, д. 6</t>
  </si>
  <si>
    <t>г. Южно-Сахалинск, пр. Мира, д. 284, лит. А</t>
  </si>
  <si>
    <t>г. Южно-Сахалинск, пр-кт. Мира, д. 176</t>
  </si>
  <si>
    <t>г. Южно-Сахалинск, пр-кт. Мира, д. 182</t>
  </si>
  <si>
    <t>г. Южно-Сахалинск, пр-кт. Мира, д. 197</t>
  </si>
  <si>
    <t>г. Южно-Сахалинск, пр-кт. Мира, д. 197, лит. А</t>
  </si>
  <si>
    <t>г. Южно-Сахалинск, пр-кт. Мира, д. 243</t>
  </si>
  <si>
    <t>г. Южно-Сахалинск, пр-кт. Мира, д. 249</t>
  </si>
  <si>
    <t>г. Южно-Сахалинск, пр-кт. Мира, д. 280</t>
  </si>
  <si>
    <t>г. Южно-Сахалинск, пр-кт. Мира, д. 286, лит. А</t>
  </si>
  <si>
    <t>г. Южно-Сахалинск, пр-кт. Мира, д. 4</t>
  </si>
  <si>
    <t>г. Южно-Сахалинск, пр-кт. Мира, д. 60</t>
  </si>
  <si>
    <t>г. Южно-Сахалинск, пр-кт. Победы, д. 12</t>
  </si>
  <si>
    <t>г. Южно-Сахалинск, пр-кт. Победы, д. 14</t>
  </si>
  <si>
    <t>г. Южно-Сахалинск, пр-кт. Победы, д. 15</t>
  </si>
  <si>
    <t>г. Южно-Сахалинск, пр-кт. Победы, д. 29</t>
  </si>
  <si>
    <t>г. Южно-Сахалинск, пр-кт. Победы, д. 31</t>
  </si>
  <si>
    <t>г. Южно-Сахалинск, пр-кт. Победы, д. 53</t>
  </si>
  <si>
    <t>г. Южно-Сахалинск, пр-кт. Победы, д. 7, лит. А</t>
  </si>
  <si>
    <t>г. Южно-Сахалинск, пр-кт. Победы, д. 90</t>
  </si>
  <si>
    <t>г. Южно-Сахалинск, проезд. Спортивный, д. 17, лит. А</t>
  </si>
  <si>
    <t>г. Южно-Сахалинск, ул. Авиационная, д. 76</t>
  </si>
  <si>
    <t>г. Южно-Сахалинск, ул. Авиационная, д. 78</t>
  </si>
  <si>
    <t>г. Южно-Сахалинск, ул. Авиационная, д. 88</t>
  </si>
  <si>
    <t>г. Южно-Сахалинск, ул. Амурская, д. 1</t>
  </si>
  <si>
    <t>г. Южно-Сахалинск, ул. Амурская, д. 159</t>
  </si>
  <si>
    <t>г. Южно-Сахалинск, ул. Амурская, д. 184</t>
  </si>
  <si>
    <t>г. Южно-Сахалинск, ул. Амурская, д. 4</t>
  </si>
  <si>
    <t>г. Южно-Сахалинск, ул. Бумажная, д. 24, лит. А</t>
  </si>
  <si>
    <t>г. Южно-Сахалинск, ул. Вокзальная, д. 72</t>
  </si>
  <si>
    <t>г. Южно-Сахалинск, ул. Вокзальная, д. 9, лит. А</t>
  </si>
  <si>
    <t>г. Южно-Сахалинск, ул. Емельянова А.О., д. 33, лит. Б</t>
  </si>
  <si>
    <t>г. Южно-Сахалинск, ул. Емельянова А.О., д. 41, лит. А</t>
  </si>
  <si>
    <t>г. Южно-Сахалинск, ул. Железнодорожная, д. 16</t>
  </si>
  <si>
    <t>г. Южно-Сахалинск, ул. Железнодорожная, д. 18</t>
  </si>
  <si>
    <t>г. Южно-Сахалинск, ул. Железнодорожная, д. 18, лит. А</t>
  </si>
  <si>
    <t>г. Южно-Сахалинск, ул. Железнодорожная, д. 91, лит. А</t>
  </si>
  <si>
    <t>г. Южно-Сахалинск, ул. Им Космонавта Поповича, д. 22, лит. А</t>
  </si>
  <si>
    <t>г. Южно-Сахалинск, ул. Им Космонавта Поповича, д. 24, лит. А</t>
  </si>
  <si>
    <t>г. Южно-Сахалинск, ул. Им Космонавта Поповича, д. 51</t>
  </si>
  <si>
    <t>г. Южно-Сахалинск, ул. Имени П.А.Леонова, д. 42</t>
  </si>
  <si>
    <t>г. Южно-Сахалинск, ул. имени Ф.Э.Дзержинского, д. 12</t>
  </si>
  <si>
    <t>г. Южно-Сахалинск, ул. имени Ф.Э.Дзержинского, д. 44</t>
  </si>
  <si>
    <t>г. Южно-Сахалинск, ул. Комсомольская, д. 215</t>
  </si>
  <si>
    <t>г. Южно-Сахалинск, ул. Комсомольская, д. 225</t>
  </si>
  <si>
    <t>г. Южно-Сахалинск, ул. Комсомольская, д. 235</t>
  </si>
  <si>
    <t>г. Южно-Сахалинск, ул. Комсомольская, д. 239</t>
  </si>
  <si>
    <t>г. Южно-Сахалинск, ул. Крюкова Д.Н., д. 35</t>
  </si>
  <si>
    <t>г. Южно-Сахалинск, ул. Курильская, д. 14</t>
  </si>
  <si>
    <t>г. Южно-Сахалинск, ул. Курильская, д. 6</t>
  </si>
  <si>
    <t>г. Южно-Сахалинск, ул. Курильская, д. 7</t>
  </si>
  <si>
    <t>г. Южно-Сахалинск, ул. Ленина, д. 166</t>
  </si>
  <si>
    <t>г. Южно-Сахалинск, ул. Ленина, д. 198</t>
  </si>
  <si>
    <t>г. Южно-Сахалинск, ул. Ленина, д. 283</t>
  </si>
  <si>
    <t>г. Южно-Сахалинск, ул. Ленина, д. 287</t>
  </si>
  <si>
    <t>г. Южно-Сахалинск, ул. Ленина, д. 306</t>
  </si>
  <si>
    <t>г. Южно-Сахалинск, ул. Ленина, д. 489, лит. А</t>
  </si>
  <si>
    <t>г. Южно-Сахалинск, ул. Ленина, д. 493</t>
  </si>
  <si>
    <t>г. Южно-Сахалинск, ул. Милицейская, д. 11</t>
  </si>
  <si>
    <t>г. Южно-Сахалинск, ул. Милицейская, д. 13, лит. А</t>
  </si>
  <si>
    <t>г. Южно-Сахалинск, ул. Невельская, д. 13</t>
  </si>
  <si>
    <t>г. Южно-Сахалинск, ул. Невельская, д. 46</t>
  </si>
  <si>
    <t>г. Южно-Сахалинск, ул. Пограничная, д. 20</t>
  </si>
  <si>
    <t>г. Южно-Сахалинск, ул. Пограничная, д. 22</t>
  </si>
  <si>
    <t>г. Южно-Сахалинск, ул. Пограничная, д. 63</t>
  </si>
  <si>
    <t>г. Южно-Сахалинск, ул. Пуркаева М.А., д. 80</t>
  </si>
  <si>
    <t>г. Южно-Сахалинск, ул. Пуркаева М.А., д. 82</t>
  </si>
  <si>
    <t>г. Южно-Сахалинск, ул. Пушкина, д. 131</t>
  </si>
  <si>
    <t>г. Южно-Сахалинск, ул. Пушкина, д. 133</t>
  </si>
  <si>
    <t>г. Южно-Сахалинск, ул. Сахалинская, д. 1</t>
  </si>
  <si>
    <t>г. Южно-Сахалинск, ул. Сахалинская, д. 106</t>
  </si>
  <si>
    <t>г. Южно-Сахалинск, ул. Сахалинская, д. 15</t>
  </si>
  <si>
    <t>г. Южно-Сахалинск, ул. Сахалинская, д. 36</t>
  </si>
  <si>
    <t>г. Южно-Сахалинск, ул. Сахалинская, д. 37</t>
  </si>
  <si>
    <t>г. Южно-Сахалинск, ул. Сахалинская, д. 49</t>
  </si>
  <si>
    <t>г. Южно-Сахалинск, ул. Сахалинская, д. 51</t>
  </si>
  <si>
    <t>г. Южно-Сахалинск, ул. Сахалинская, д. 8</t>
  </si>
  <si>
    <t>г. Южно-Сахалинск, ул. Тихоокеанская, д. 27</t>
  </si>
  <si>
    <t>г. Южно-Сахалинск, ул. Тихоокеанская, д. 34</t>
  </si>
  <si>
    <t>г. Южно-Сахалинск, ул. Тихоокеанская, д. 36</t>
  </si>
  <si>
    <t>г. Южно-Сахалинск, ул. Украинская, д. 11</t>
  </si>
  <si>
    <t>г. Южно-Сахалинск, ул. Украинская, д. 22, лит. А</t>
  </si>
  <si>
    <t>г. Южно-Сахалинск, ул. Украинская, д. 3</t>
  </si>
  <si>
    <t>г. Южно-Сахалинск, ул. Украинская, д. 9</t>
  </si>
  <si>
    <t>г. Южно-Сахалинск, ул. Фабричная, д. 11</t>
  </si>
  <si>
    <t>г. Южно-Сахалинск, ул. Фабричная, д. 20</t>
  </si>
  <si>
    <t>г. Южно-Сахалинск, ул. Физкультурная, д. 115</t>
  </si>
  <si>
    <t>г. Южно-Сахалинск, ул. Физкультурная, д. 120</t>
  </si>
  <si>
    <t>г. Южно-Сахалинск, ул. Физкультурная, д. 38</t>
  </si>
  <si>
    <t>г. Южно-Сахалинск, ул. Физкультурная, д. 66</t>
  </si>
  <si>
    <t>г. Южно-Сахалинск, ул. Физкульурная, д. 124, лит. Б</t>
  </si>
  <si>
    <t>г. Южно-Сахалинск, ул. Чехова, д. 2, лит. А</t>
  </si>
  <si>
    <t>г. Южно-Сахалинск, ул. Чехова, д. 29</t>
  </si>
  <si>
    <t>с. Березняки, ул. Зеленая, д. 26, лит. А</t>
  </si>
  <si>
    <t>с. Березняки, ул. Крайняя, д. 4</t>
  </si>
  <si>
    <t>с. Дальнее, ул. Студенческая, д. 11</t>
  </si>
  <si>
    <t>с. Дальнее, ул. Студенческая, д. 9</t>
  </si>
  <si>
    <t>с. Елочки, ул. Центральная, д. 1</t>
  </si>
  <si>
    <t>г. Александровск-Сахалинский, ул. Красноармейская, д. 34</t>
  </si>
  <si>
    <t>г. Александровск-Сахалинский, ул. Ленина, д. 13</t>
  </si>
  <si>
    <t>г. Александровск-Сахалинский, ул. Советская, д. 32</t>
  </si>
  <si>
    <t>с. Троицкое, ул. Центральная, д. 40</t>
  </si>
  <si>
    <t>Крыша</t>
  </si>
  <si>
    <t>Фасад</t>
  </si>
  <si>
    <t>г. Долинск, ул. Комсомольская, д. 40, лит. А</t>
  </si>
  <si>
    <t>г. Долинск, ул. Октябрьская, д. 9</t>
  </si>
  <si>
    <t>с. Сокол, ул. Совхозная, д. 1</t>
  </si>
  <si>
    <t>Подвал</t>
  </si>
  <si>
    <t>г. Корсаков, ул. 2-й микрорайон, д. 1</t>
  </si>
  <si>
    <t>с. Чапаево, ул. Центральная, д. 1</t>
  </si>
  <si>
    <t>Фундамент</t>
  </si>
  <si>
    <t>с. Рейдово, ул. Зеленая, д. 6</t>
  </si>
  <si>
    <t>с. Китовое, ул. Молодежная, д. 3</t>
  </si>
  <si>
    <t>с. Китовое, ул. Молодежная, д. 4</t>
  </si>
  <si>
    <t>г. Макаров, ул. Хабаровская, д. 25</t>
  </si>
  <si>
    <t>г. Оха, ул. 60 лет СССР, д. 34</t>
  </si>
  <si>
    <t>с. Москальво, ул. Советская, д. 12</t>
  </si>
  <si>
    <t>Газоснабжение</t>
  </si>
  <si>
    <t>г. Северо-Курильск, ул. Шутова,  д. 14, лит. А</t>
  </si>
  <si>
    <t>пгт. Смирных, ул. 60 лет СССР, д. 20</t>
  </si>
  <si>
    <t>пгт. Смирных, ул. 60 лет СССР, д. 8</t>
  </si>
  <si>
    <t>пгт. Смирных, ул. 8 Марта, д. 37, лит. А</t>
  </si>
  <si>
    <t>пгт. Смирных, ул. Горького, д. 14</t>
  </si>
  <si>
    <t>пгт. Смирных, ул. Горького, д. 16</t>
  </si>
  <si>
    <t>пгт. Смирных, ул. Полевая, д. 1, лит. А</t>
  </si>
  <si>
    <t>пгт. Смирных, ул. Центральная, д. 31</t>
  </si>
  <si>
    <t>пгт. Смирных, ул. Чехова, д. 21</t>
  </si>
  <si>
    <t>пгт. Смирных, ул. Чехова, д. 31</t>
  </si>
  <si>
    <t>г. Томари, ул. Юбилейная, д. 19</t>
  </si>
  <si>
    <t>с. Ильинское, ул. Лесная, д. 2</t>
  </si>
  <si>
    <t>с. Ильинское, ул. Советская, д. 85</t>
  </si>
  <si>
    <t>с. Ильинское, ул. Советская, д. 87</t>
  </si>
  <si>
    <t>с. Красногорск, ул. Ушакова, д. 18</t>
  </si>
  <si>
    <t>с. Красногорск, ул. Ушакова, д. 20</t>
  </si>
  <si>
    <t>с. Черемшанка, ул. Гагарина, д. 12</t>
  </si>
  <si>
    <t>с. Черемшанка, ул. Ленина, д. 2</t>
  </si>
  <si>
    <t>ООО "Стройгазпроект" Муртазалиев Р.А. 8-924-283-06-63</t>
  </si>
  <si>
    <t>ООО "Стройгазпроект" Муртазалиев Р.А. 8-924-283-06-72</t>
  </si>
  <si>
    <t>ООО "Стройгазпроект" Муртазалиев Р.А. 8-924-283-06-102</t>
  </si>
  <si>
    <t>ООО "Магистраль" Ген.дир. Киселев С.В.тел. 8914-0840801</t>
  </si>
  <si>
    <t>№25-ПД/2015 от 21.09.2015г.</t>
  </si>
  <si>
    <t>ООО "СК Техно-Строй"ген.дир. Павлов А.О.тел. 300-950</t>
  </si>
  <si>
    <t>№26-ПД/2015 от 21.09.2015г.</t>
  </si>
  <si>
    <t>ООО "СК Техно-Строй"ген.дир. Павлов А.О.тел. 300-951</t>
  </si>
  <si>
    <t>ООО "СК Техно-Строй"ген.дир. Павлов А.О.тел. 300-953</t>
  </si>
  <si>
    <t>ООО "СК Техно-Строй"ген.дир. Павлов А.О.тел. 300-954</t>
  </si>
  <si>
    <t>№28-ПД/2015 от 28.09.2015г.</t>
  </si>
  <si>
    <t>№29-ПД/2015 от 24.09.2015г.</t>
  </si>
  <si>
    <t>№32-ПД/2015 от 29.09.2015г.</t>
  </si>
  <si>
    <t>№33-ПД/2015 от 25.09.2015.</t>
  </si>
  <si>
    <t>ООО "Дельта" Дир. Пятилетов А.А.тел. 8962-1195653</t>
  </si>
  <si>
    <t>№34-ПД/2015 от 01.10.2015</t>
  </si>
  <si>
    <t>№62-ПД/2015 от 13.01.2016</t>
  </si>
  <si>
    <t>№42-ПД/2015 от 24.11.2015</t>
  </si>
  <si>
    <t>ООО "Дельта" Дир. Пятилетов А .А.тел. 8962-119-56-53</t>
  </si>
  <si>
    <t>№43-ПД/2015 от 18.12.2015</t>
  </si>
  <si>
    <t>ООО "Ротари-2000" Директор Кашенцев , 312-312</t>
  </si>
  <si>
    <t>№46-ПД/2015 от 21.12.2015</t>
  </si>
  <si>
    <t>№44-ПД/2015 от 17.12.2015</t>
  </si>
  <si>
    <t>№47-ПД/2015 от 18.12.2015.</t>
  </si>
  <si>
    <t>№48-ПД/2015 от 18.12.2015.</t>
  </si>
  <si>
    <t>№50-ПД/2015 от 18.12.2015</t>
  </si>
  <si>
    <t>№51-ПД/2015 от 23.12.2015г.</t>
  </si>
  <si>
    <t>№53-ПД/2016 от 28.12.2015</t>
  </si>
  <si>
    <t>№39-ПД/2016 от 12.10.2015</t>
  </si>
  <si>
    <t>№57-ПД/2015 от 28.12.2015г.</t>
  </si>
  <si>
    <t>ООО "Стройстандарт" Ген Дир - Камелин Максим Сергеевич 29-57-54</t>
  </si>
  <si>
    <t>№49-ПД/2015 от 18.12.2015</t>
  </si>
  <si>
    <t>пгт. Тымовское, ул. Кировская, д. 85, лит. А</t>
  </si>
  <si>
    <t>с. Кировское, ул. Речная, д. 3</t>
  </si>
  <si>
    <t>с. Красная Тымь, пер. Школьный, д. 2</t>
  </si>
  <si>
    <t>№45-ПД/2015 от 17.12.2015</t>
  </si>
  <si>
    <t>№24-ПД/2015 от 18.09.2015</t>
  </si>
  <si>
    <t>г. Углегорск, ул. Портовая, д. 12</t>
  </si>
  <si>
    <t>№31-ПД/2015 от 05.10.2015</t>
  </si>
  <si>
    <t>г. Холмск, ул. Первомайская, д. 11</t>
  </si>
  <si>
    <t>г. Холмск, ул. Первомайская, д. 5</t>
  </si>
  <si>
    <t>№52-ПД/2015 от 23.12.2015</t>
  </si>
  <si>
    <t>№55-ПД/2015 от 28.12.2015</t>
  </si>
  <si>
    <t>№38-ПД/2016 от 15.10.2015г.</t>
  </si>
  <si>
    <t>г. Шахтерск, ул. Интернациональная, д. 9</t>
  </si>
  <si>
    <t>г. Шахтерск, ул. Коммунистическая, д. 9</t>
  </si>
  <si>
    <t>г. Шахтерск, ул. Кузьменко, д. 1</t>
  </si>
  <si>
    <t>г. Шахтерск, ул. Мира, д. 11</t>
  </si>
  <si>
    <t>г. Шахтерск, ул. Мира, д. 12</t>
  </si>
  <si>
    <t>г. Шахтерск, ул. Мира, д. 18</t>
  </si>
  <si>
    <t>г. Шахтерск, ул. Мира, д. 5</t>
  </si>
  <si>
    <t>г. Шахтерск, ул. Мира, д. 6</t>
  </si>
  <si>
    <t>ООО "СК Техно-Строй" ген.дир. Павлов А.О.тел. 300-951</t>
  </si>
  <si>
    <t xml:space="preserve">№2-СМР/2016 от </t>
  </si>
  <si>
    <t>ООО "Регион"Веретешкин О.Н.</t>
  </si>
  <si>
    <t>ООО "Регион" директор Веретешкин О.Н.</t>
  </si>
  <si>
    <t>№2-СМР/2016 от 13.01.2016</t>
  </si>
  <si>
    <t>ИП Торгонин В.Н.</t>
  </si>
  <si>
    <t>ООО "СМК Сахалин"</t>
  </si>
  <si>
    <t>ООО "Компания Стройсервис"</t>
  </si>
  <si>
    <t>№9-СМР/2016 от 13.01.2016</t>
  </si>
  <si>
    <t>№111-СМР/2015 от 25.11.2015</t>
  </si>
  <si>
    <t>ООО "Стройград-1", Ген дир Пак Чан Сен, Тел./факс 8 (4242) 72-26-30, 50-00-37</t>
  </si>
  <si>
    <t>№113-СМР/2015 от 07.12.2015</t>
  </si>
  <si>
    <t>№112-СМР/2016 от 11.12.2016</t>
  </si>
  <si>
    <t>№114-СМР/2015г.
от 08.12.2015г.</t>
  </si>
  <si>
    <t>ООО "Бернизет" Г. дир. - Филипьев Андрей Ильич 286-27-52,  8-962-124-00-82</t>
  </si>
  <si>
    <t>№116-СМР/2015г.
от 07.12.2015г.</t>
  </si>
  <si>
    <t>ООО "Гарант", Ген. Директр - Сё Д.М., Дир. по стр-ву  - Бетнев Евгений Борисович - 
27-99-98</t>
  </si>
  <si>
    <t>ООО "Компания Строй модуль"Директор - Че Хук Ер (Дмитрий Яковлевич) - 26-16-11</t>
  </si>
  <si>
    <t>№123/1-СМР/2015</t>
  </si>
  <si>
    <t>№123/2-СМР/2015</t>
  </si>
  <si>
    <t>№123/3-СМР/2015</t>
  </si>
  <si>
    <t>г. Южно-Сахалинск, п/р. Ново-Александровск, пер. Железнодорожный, д. 4, лит. А</t>
  </si>
  <si>
    <t>г. Южно-Сахалинск, п/р. Ново-Александровск, ул. 30 лет Победы, д. 7, лит. А</t>
  </si>
  <si>
    <t>г. Южно-Сахалинск, ул. Бумажная, д. 22, лит. Б</t>
  </si>
  <si>
    <t>г. Южно-Сахалинск, ул. Имени Антона Буюклы, д. 85</t>
  </si>
  <si>
    <t>г. Южно-Сахалинск, ул. Курильская, д. 55</t>
  </si>
  <si>
    <t>г. Южно-Сахалинск, ул. Сахалинская, д. 5</t>
  </si>
  <si>
    <t>с. Березняки, ул. Зеленая, д. 4</t>
  </si>
  <si>
    <t>ООО "Ротари-2000" Директор - Кашенцев Д., 312-312</t>
  </si>
  <si>
    <t>№61-ПД/2015 от 28.12.2015</t>
  </si>
  <si>
    <t>№60-ПД/2015 от 28.12.2015</t>
  </si>
  <si>
    <t>№59-ПД/2015 от 28.12.2015</t>
  </si>
  <si>
    <t>№58-ПД/2015 от 28.12.2015</t>
  </si>
  <si>
    <t>№56-ПД/2015 от 28.12.2015</t>
  </si>
  <si>
    <t>№54-ПД/2015 от 28.12.2015</t>
  </si>
  <si>
    <t>№36-ПД/2015 от 29.09.2015</t>
  </si>
  <si>
    <t>№35-ПД/2015 от 29.09.2015</t>
  </si>
  <si>
    <t>№1-СМР/2016 от 11.01.2016</t>
  </si>
  <si>
    <t>ООО "Шадан" директор - Тишков В.В. 424329</t>
  </si>
  <si>
    <t>№10-СМР/2016 от 11.01.2016</t>
  </si>
  <si>
    <t>№6-СМР/2016 от 14.01.2016</t>
  </si>
  <si>
    <t>№8-СМР/2016 от 14.01.2016</t>
  </si>
  <si>
    <t>МКД всего:</t>
  </si>
  <si>
    <t>Муниципальное образование всего:</t>
  </si>
  <si>
    <t>Муниципальное образование "Анивский городской округ"</t>
  </si>
  <si>
    <t>Муниципальное образование  городской округ "Александровск-Сахалинский район"</t>
  </si>
  <si>
    <t>Муниципальное образование "Бошняковское сельское поселение"</t>
  </si>
  <si>
    <t>Муниципальное образование "Долинский городской округ"</t>
  </si>
  <si>
    <t>Муниципальное образование "Корсаковский городской округ"</t>
  </si>
  <si>
    <t>Муниципальное образование "Курильский городской округ"</t>
  </si>
  <si>
    <t>Муниципальное образование "Макаровский городской округ"</t>
  </si>
  <si>
    <t>Муниципальное образование "Невельский городской округ"</t>
  </si>
  <si>
    <t>Муниципальное образование "Городской округ Ногликский"</t>
  </si>
  <si>
    <t>Муниципальное образование городской округ "Охинский"</t>
  </si>
  <si>
    <t>Муниципальное образование "Поронайский городской округ"</t>
  </si>
  <si>
    <t>Муниципальное образование Северо-Курильский городской округ</t>
  </si>
  <si>
    <t>Муниципальное образование городской округ "Смирныховский"</t>
  </si>
  <si>
    <t>Муниципальное образование "Томаринский городской округ"</t>
  </si>
  <si>
    <t>Муниципальное образование "Тымовский городской округ"</t>
  </si>
  <si>
    <t>с. Кировское, ул. Центральная, д. 65</t>
  </si>
  <si>
    <t>Муниципальное образование "Углегорское городское поселение"</t>
  </si>
  <si>
    <t>Муниципальное образование "Холмский городской округ"</t>
  </si>
  <si>
    <t>Муниципальное образование Шахтерское городское поселение</t>
  </si>
  <si>
    <t>Муниципальное образование "Южно-Курильский городской округ"</t>
  </si>
  <si>
    <t>Вид работы (услуги) по капитальному ремонту</t>
  </si>
  <si>
    <t>№ и дата заключения договора подряда на капитальный ремонт</t>
  </si>
  <si>
    <t>Плановая дата завершения работ (услуг) в соответствии с заключенным договором подряда</t>
  </si>
  <si>
    <t>Дата фактического завершения работ (услуг)  в соответствии с актами о приемке</t>
  </si>
  <si>
    <t>Сахалинская область всего</t>
  </si>
  <si>
    <t>ООО "Авантажстрой" , ген. Директр Караваев Д.Н. 
Тел./факс 8 (4212) 738312, 89142001043</t>
  </si>
  <si>
    <t>№5-СМР/2016 от 15.01.2016</t>
  </si>
  <si>
    <t>№3-СМР/2016 от 15.01.2016</t>
  </si>
  <si>
    <t>№4-СМР/2016 от 15.01.2016</t>
  </si>
  <si>
    <t>№7-СМР/2016 от 15.01.2016</t>
  </si>
  <si>
    <t>ООО "Гарант"</t>
  </si>
  <si>
    <t>Муниципальное образование городской округ "город Южно-Сахалинск"</t>
  </si>
  <si>
    <t>ООО "Домострой"</t>
  </si>
  <si>
    <t>№15-СМР/2016 от 29.01.2016</t>
  </si>
  <si>
    <t>№16-СМР/2016 от 29.01.2016</t>
  </si>
  <si>
    <t>ООО "Стройград - 1"</t>
  </si>
  <si>
    <t>№14/1-СМР/2015 от 01.02.2016</t>
  </si>
  <si>
    <t>№13/3-СМР/2016 от 01.02.2016</t>
  </si>
  <si>
    <t>№14/2-СМР/2015 от 09.02.2016</t>
  </si>
  <si>
    <t>ООО СК "ЭНКИ"</t>
  </si>
  <si>
    <t>№13/2-СМР/2016 от 09.02.2016</t>
  </si>
  <si>
    <t>№13/1-СМР/2016 от 09.02.2016</t>
  </si>
  <si>
    <t>№112-СМР/2015 от 11.12.2015</t>
  </si>
  <si>
    <t>№17-СМР/2016 от 25.02.2016</t>
  </si>
  <si>
    <t>№18-СМР/2016 от 20.02.2016</t>
  </si>
  <si>
    <t>ООО "Энки"</t>
  </si>
  <si>
    <t>№19/1-СМР/2016 от 24.02.2016</t>
  </si>
  <si>
    <t>№19/2-СМР/2016 от 26.02.2016</t>
  </si>
  <si>
    <t>№19/3-СМР/2016 от 17.02.2016</t>
  </si>
  <si>
    <t>№19/4-СМР/2016 от 25.02.2016</t>
  </si>
  <si>
    <t>ООО "ТехноСтройКомплекс"</t>
  </si>
  <si>
    <t>№20-СМР/2016 от 24.02.2016</t>
  </si>
  <si>
    <t>№21-СМР/2016 от 24.02.2016</t>
  </si>
  <si>
    <t>№25-СМР/2016 от 09.03.2016</t>
  </si>
  <si>
    <t>ООО "Стройград-1"</t>
  </si>
  <si>
    <t>№19/1-СМР/2016г. от 24.02.2016г.</t>
  </si>
  <si>
    <t>ООО "Сириус"</t>
  </si>
  <si>
    <t>г. Холмск, ул. Советская, д. 132</t>
  </si>
  <si>
    <t>г. Шахтерск, Мира, д. 43</t>
  </si>
  <si>
    <t>№39-СМР/2016 от 04.04.2016</t>
  </si>
  <si>
    <t>ОАО "Сахалиноблгаз"</t>
  </si>
  <si>
    <t>№28/1-СМР/2016 от 28.03.2016</t>
  </si>
  <si>
    <t>ООО "РеМейк"</t>
  </si>
  <si>
    <t>№30/3-СМР/2016 от 28.03.2016</t>
  </si>
  <si>
    <t>№27/1-СМР/2016 от 14.03.2016</t>
  </si>
  <si>
    <t>ООО "Рабочий-1"</t>
  </si>
  <si>
    <t>№27/2-СМР/2016 от 10.03.2016</t>
  </si>
  <si>
    <t>ООО "Контроль-ДВ"</t>
  </si>
  <si>
    <t>№27/3-СМР/2016 от 10.03.2016</t>
  </si>
  <si>
    <t>№27/4-СМР/2016 от 14.03.2016</t>
  </si>
  <si>
    <t>№28/2-СМР/2016 от 28.03.2016</t>
  </si>
  <si>
    <t>№30/1-СМР/2016 от 21.03.2016</t>
  </si>
  <si>
    <t>ООО "СК Императив"</t>
  </si>
  <si>
    <t>№30/2-СМР/2016 от 21.03.2016</t>
  </si>
  <si>
    <t>№32-СМР/2016 от 04.04.2016</t>
  </si>
  <si>
    <t>№33-СМР/2016 от 04.04.2016</t>
  </si>
  <si>
    <t>№34-СМР/2016 от 29.03.2016</t>
  </si>
  <si>
    <t>ООО "СК Энки"</t>
  </si>
  <si>
    <t>№35-СМР/2016 от 05.04.2016</t>
  </si>
  <si>
    <t>ООО "Северспецстрой"</t>
  </si>
  <si>
    <t>№36-СМР/2016 от 29.03.2016</t>
  </si>
  <si>
    <t>№37/1-СМР/2016 от 08.04.2016</t>
  </si>
  <si>
    <t>ООО "Паладэз"</t>
  </si>
  <si>
    <t>№38/1-СМР/2016 от 06.04.2016</t>
  </si>
  <si>
    <t>ООО "Строитель"</t>
  </si>
  <si>
    <t>№38/2-СМР/2016 от 06.04.2016</t>
  </si>
  <si>
    <t>ООО "Сахалинская промышленная компания"</t>
  </si>
  <si>
    <t>№40-СМР/2016 от 05.04.2016</t>
  </si>
  <si>
    <t>05.06.2016</t>
  </si>
  <si>
    <t>ООО "Аско-88"</t>
  </si>
  <si>
    <t>№41-СМР/2016 от 07.04.2016</t>
  </si>
  <si>
    <t>ООО "Техно-Строй ДВ"</t>
  </si>
  <si>
    <t>№51-СМР/2016 от 06.04.2016</t>
  </si>
  <si>
    <t>ИП Хачатурян А.А.</t>
  </si>
  <si>
    <t>№45-СМР/2016 от 20.04.2016</t>
  </si>
  <si>
    <t>№47-СМР/2016 от 14.04.2016</t>
  </si>
  <si>
    <t>ООО "Компания Строймодуль"</t>
  </si>
  <si>
    <t>№50-СМР/2016 от 18.04.2016</t>
  </si>
  <si>
    <t>№54-СМР/2016 от 17.04.2016</t>
  </si>
  <si>
    <t>ООО "Строительно-монтажная компания Юнона"</t>
  </si>
  <si>
    <t>№56-СМР/2016 от 13.04.2016</t>
  </si>
  <si>
    <t>ООО "Сахалинская кровля"</t>
  </si>
  <si>
    <t>№57-СМР/2016 от 14.04.2016</t>
  </si>
  <si>
    <t>ООО "Шадан"</t>
  </si>
  <si>
    <t>№58-СМР/2016 от 14.04.2016</t>
  </si>
  <si>
    <t>№44/2-СМР/2016 от 18.04.2016</t>
  </si>
  <si>
    <t>ООО "Гранд"</t>
  </si>
  <si>
    <t>№52-СМР/2016 от 20.04.2016</t>
  </si>
  <si>
    <t>№26-СМР/2016 от 21.03.2016</t>
  </si>
  <si>
    <t>№53-СМР/2016 от 20.04.2016</t>
  </si>
  <si>
    <t>№37/2-СМР/2016 от 01.04.2016</t>
  </si>
  <si>
    <t>ООО "Южная строительно-торговая компания"</t>
  </si>
  <si>
    <t>№42/1-СМР/2016 от 15.04.2016</t>
  </si>
  <si>
    <t>ООО СК "Энки"</t>
  </si>
  <si>
    <t>№42/2-СМР/2016 от 15.04.2016</t>
  </si>
  <si>
    <t>№44/1-СМР/2016 от 13.04.2016</t>
  </si>
  <si>
    <t>ООО "Евроокна"</t>
  </si>
  <si>
    <t>№48-СМР/2016 от 18.04.2016</t>
  </si>
  <si>
    <t>№49-СМР/2016 от 18.04.2016</t>
  </si>
  <si>
    <t>№55-СМР/2016 от 29.04.2016</t>
  </si>
  <si>
    <t>№46-СМР/2016 от 19.04.2016</t>
  </si>
  <si>
    <t xml:space="preserve">ООО "Авантажстрой" </t>
  </si>
  <si>
    <t>№59-СМР/2016 от 19.04.2016</t>
  </si>
  <si>
    <t>№61-СМР/2016 от 28.04.2016</t>
  </si>
  <si>
    <t>№62-СМР/2016 от 27.04.2016</t>
  </si>
  <si>
    <t>ООО "Альпстрой-ДВ"</t>
  </si>
  <si>
    <t>№50/1-СМР/2015 от 16.07.2015</t>
  </si>
  <si>
    <t>ООО "Фобос-Строй"</t>
  </si>
  <si>
    <t>с. Троицкое, ул. Гвардейская, д. 10</t>
  </si>
  <si>
    <t>с. Троицкое, ул. Гвардейская, д. 8</t>
  </si>
  <si>
    <t>Объем фактически исполненых работ, руб.</t>
  </si>
  <si>
    <t>№ 64/4-СМР/2015                от 20.07.2015</t>
  </si>
  <si>
    <t>№73-СМР/2016 от 29.04.2016</t>
  </si>
  <si>
    <t>ООО "СахалинРемонт"</t>
  </si>
  <si>
    <t>№60-СМР/2016 от 28.04.2016</t>
  </si>
  <si>
    <t>№64/2-СМР/2016 от 05.05.2016</t>
  </si>
  <si>
    <t>ООО "Строймаркет"</t>
  </si>
  <si>
    <t>№64/1-СМР/2016 от 05.05.2016</t>
  </si>
  <si>
    <t>№66-СМР/2016 от 12.05.2016</t>
  </si>
  <si>
    <t>№63-СМР/2016 от 05.05.2016</t>
  </si>
  <si>
    <t>№65-СМР/2016 от 19.05.2016</t>
  </si>
  <si>
    <t>№67-СМР/2016 от 12.05.2016</t>
  </si>
  <si>
    <t>№69/1-СМР/2016 от 10.05.2016</t>
  </si>
  <si>
    <t>ООО "Логос"</t>
  </si>
  <si>
    <t>№69/2-СМР/2016 от 10.05.2016</t>
  </si>
  <si>
    <t>№70/1-СМР/2016 от 16.05.2016</t>
  </si>
  <si>
    <t>ООО "Альянс"</t>
  </si>
  <si>
    <t>№70/2-СМР/2016 от 16.05.2016</t>
  </si>
  <si>
    <t>№74/1-СМР/2016 от 17.05.2016</t>
  </si>
  <si>
    <t>ООО "Гарантия"</t>
  </si>
  <si>
    <t>№74/2-СМР/2016 от 17.05.2016</t>
  </si>
  <si>
    <t>№75/1-СМР/2016 от 16.05.2016</t>
  </si>
  <si>
    <t>№31/1-СМР/2016 от 31.03.2016</t>
  </si>
  <si>
    <t>ООО "Северосахалинское транспортное агентство"</t>
  </si>
  <si>
    <t>№31/2-СМР/2016 от 31.03.2016</t>
  </si>
  <si>
    <t>№68-СМР/2016 от 17.05.2016</t>
  </si>
  <si>
    <t>№70/3-СМР/2016 от 16.05.2016</t>
  </si>
  <si>
    <t>ООО "Стройстандарт"</t>
  </si>
  <si>
    <t>№72/1-СМР/2016 от 19.05.2016</t>
  </si>
  <si>
    <t>№72/2-СМР/2016 от 19.05.2016</t>
  </si>
  <si>
    <t>№74/3-СМР/2016 от 17.05.2016</t>
  </si>
  <si>
    <t>ООО "Строительно-промышленная корпорация"</t>
  </si>
  <si>
    <t>№75/2-СМР/2016 от 18.05.2016</t>
  </si>
  <si>
    <t>№84-СМР/2016 от 19.05.2016</t>
  </si>
  <si>
    <t>ООО "Андаин"</t>
  </si>
  <si>
    <t>№86-СМР/2016 от 24.05.2016</t>
  </si>
  <si>
    <t>№98-СМР/2016 от 06.06.2016</t>
  </si>
  <si>
    <t>ООО "Мегастрой"</t>
  </si>
  <si>
    <t>№78-СМР/2016 от 30.05.2016</t>
  </si>
  <si>
    <t>№71-СМР/2016 от 19.05.2016</t>
  </si>
  <si>
    <t>ООО СКФ "Рубин"</t>
  </si>
  <si>
    <t xml:space="preserve">г. Южно-Сахалинск, п/р. Ново-Александровск, пер. Мичурина, д. 5 </t>
  </si>
  <si>
    <t>№79-СМР/2016 от 24.05.2016</t>
  </si>
  <si>
    <t>№82-СМР/2016 от 26.05.2016</t>
  </si>
  <si>
    <t>ООО "Спецстрой-Сахалин"</t>
  </si>
  <si>
    <t>№83-СМР/2016 от 26.05.2016</t>
  </si>
  <si>
    <t>№85-СМР/2016 от 06.06.2016</t>
  </si>
  <si>
    <t>№87-СМР/2016 от 30.05.2016</t>
  </si>
  <si>
    <t>№89/1-СМР/2016 от 30.05.2016</t>
  </si>
  <si>
    <t>№89/2-СМР/2016 от 30.05.2016</t>
  </si>
  <si>
    <t>№90/1-СМР/2016 от 08.06.2016</t>
  </si>
  <si>
    <t>№90/2-СМР/2016 от 06.06.2016</t>
  </si>
  <si>
    <t>№91-СМР/2016 от 31.05.2016</t>
  </si>
  <si>
    <t>№93/1-СМР/2016 от 07.06.2016</t>
  </si>
  <si>
    <t>ООО "Авантажстрой"</t>
  </si>
  <si>
    <t>№93/2-СМР/2016 от 07.06.2016</t>
  </si>
  <si>
    <t>№96-СМР/2016 от 06.06.2016</t>
  </si>
  <si>
    <t>№99-СМР/2016 от 06.06.2016</t>
  </si>
  <si>
    <t>№108-СМР/2016 от 14.06.2016</t>
  </si>
  <si>
    <t>ООО "Строитель-ХХI"</t>
  </si>
  <si>
    <t>№109-СМР/2016 от 06.06.2016</t>
  </si>
  <si>
    <t>№97/2-СМР/2016 от 15.06.2016</t>
  </si>
  <si>
    <t>№111-СМР/2016 от 10.06.2016</t>
  </si>
  <si>
    <t>ООО "Форт-1"</t>
  </si>
  <si>
    <t>№97/1-СМР/2016 от 15.06.2016</t>
  </si>
  <si>
    <t>№92-СМР/2016 от 17.06.2016</t>
  </si>
  <si>
    <t xml:space="preserve">№38/2-СМР/2016 от 06.04.2016                      </t>
  </si>
  <si>
    <t>№95-СМР/2016 от 08.06.2016</t>
  </si>
  <si>
    <t xml:space="preserve">ООО "Сахалинская промышленная компания"       </t>
  </si>
  <si>
    <t>ООО "Позитрон-С"</t>
  </si>
  <si>
    <t>№76-СМР/2016 от 31.05.2016 года</t>
  </si>
  <si>
    <t>ООО "ССТА"</t>
  </si>
  <si>
    <t>№77-СМР/2016 от 31.05.2016 года</t>
  </si>
  <si>
    <t>№90/3-СМР/2016 от 08.06.2016 года</t>
  </si>
  <si>
    <t>№94-СМР/2016 от 14.06.20216</t>
  </si>
  <si>
    <t>ООО "СКФ Рубин"</t>
  </si>
  <si>
    <t>№103-СМР/2016 от 16.06.2016 года</t>
  </si>
  <si>
    <t>№104-СМР/2016 от 16.06.2016 года</t>
  </si>
  <si>
    <t>№105-СМР/2016 от 16.06.2016 года</t>
  </si>
  <si>
    <t>№106-СМР/2016 от 16.06.2016 года</t>
  </si>
  <si>
    <t>№110-СМР/2016 от 17.06.2016 года</t>
  </si>
  <si>
    <t>№101/2-СМР/2016 от 17.06.2016 года</t>
  </si>
  <si>
    <t>№117-СМР/2016 от 27.06.2016 года</t>
  </si>
  <si>
    <t>№112-СМР/2016 от 16.06.2016 года</t>
  </si>
  <si>
    <t>ООО "СПК"</t>
  </si>
  <si>
    <t>№133-СМР/2016 от 04.07.2016 года</t>
  </si>
  <si>
    <t>№123-СМР/2016 от 04.07.2016 года</t>
  </si>
  <si>
    <t>ООО "СК Техно-Строй"</t>
  </si>
  <si>
    <t>Наименование подрядной организации</t>
  </si>
  <si>
    <t>Стоимость работ в соответствии с договором подряда, руб.</t>
  </si>
  <si>
    <t>№107-СМР/2016 от 21.06.2016 года</t>
  </si>
  <si>
    <t>№ 115-СМР/2016 от 04.07.2016 года</t>
  </si>
  <si>
    <t>№115-СМР/2016 года от 04.07.2016 года</t>
  </si>
  <si>
    <t>№118-СМР/2016 от 04.07.2016 года</t>
  </si>
  <si>
    <t>№ 125-СМР/2016 от 05.07.2016 года</t>
  </si>
  <si>
    <t>ООО "ТИСБизнесСтрой"</t>
  </si>
  <si>
    <t>№125-СМР/2016т от 05.07.2016 года</t>
  </si>
  <si>
    <t>№132-СМР/2016 от 30.06.2016</t>
  </si>
  <si>
    <t>№136-СМР/2016 от 13.07.2016</t>
  </si>
  <si>
    <t>ООО "СТРОЙКОМ-ПРОГРЕСС"</t>
  </si>
  <si>
    <t>№120-СМР/2016 от 13.07.2016</t>
  </si>
  <si>
    <t>ООО "Стройком-прогресс"</t>
  </si>
  <si>
    <t>134-СМР/2016 от 06.07.2016</t>
  </si>
  <si>
    <t>ООО "АСКО-88"</t>
  </si>
  <si>
    <t>114-СМР/2016 от 04.07.2016</t>
  </si>
  <si>
    <t>ООО "Альпстро-ДВ"</t>
  </si>
  <si>
    <t>№116-СМР/2016 от 05.07.20216</t>
  </si>
  <si>
    <t>ООО "Белый Явор"</t>
  </si>
  <si>
    <t>№102/2-СМР/2016 от 16.06.2016</t>
  </si>
  <si>
    <t>№101/1-СМР/2016 от 17.06.2016 года</t>
  </si>
  <si>
    <t>ООО "Регион"</t>
  </si>
  <si>
    <t>№101/3-СМР/2016 от 17.06.2016 года</t>
  </si>
  <si>
    <t>ООО "Ресурс-Плюс"</t>
  </si>
  <si>
    <t>№102/1-СМР/2016 от 16.06.2016 года</t>
  </si>
  <si>
    <t>№100/1-СМР/2016 от20.06.2016 года</t>
  </si>
  <si>
    <t>№113-СМР/2016 от 04.07.2016</t>
  </si>
  <si>
    <t>№119-СМР/2016 от 13.06.2016</t>
  </si>
  <si>
    <t>ООО "Арминэ"</t>
  </si>
  <si>
    <t>№121-СМР/2016 от 19.07.2016</t>
  </si>
  <si>
    <t>№129-СМР/2016 от 19.07.2016</t>
  </si>
  <si>
    <t>№156-СМР/2016 от 20.07.2016</t>
  </si>
  <si>
    <t>ООО "ДИНМАНСТРОЙ"</t>
  </si>
  <si>
    <t>№142-СМР/2016 от 20.07.2016</t>
  </si>
  <si>
    <t>№148-СМР/2016 от 26.07.2016</t>
  </si>
  <si>
    <t>с. Мгачи, ул. Первомайская, д. 52</t>
  </si>
  <si>
    <t>№161-СМР/2016 от 25.07.2016 года</t>
  </si>
  <si>
    <t>№138-СМР/2016 от 22.07.2016 года.</t>
  </si>
  <si>
    <t>№192-СМР/2016 от 09.08.2016 года.</t>
  </si>
  <si>
    <t>№137-СМР/2016 от 14.07.2016 года</t>
  </si>
  <si>
    <t>№163-СМР/2016 от 03.08.2016 года</t>
  </si>
  <si>
    <t>№130-СМР/2016 от 29.06.2016 года</t>
  </si>
  <si>
    <t>ООО "Сенат"</t>
  </si>
  <si>
    <t>15.02.206</t>
  </si>
  <si>
    <t>№157-СМР/2016 от 19.06.2016 года</t>
  </si>
  <si>
    <t>№64-ПД/2016</t>
  </si>
  <si>
    <t>ПСД (теплоснабжение)</t>
  </si>
  <si>
    <t>№164-СМР/2016 от 03.08.2016</t>
  </si>
  <si>
    <t>ИП Ташуян В.Ю.</t>
  </si>
  <si>
    <t>№185-СМР/2016 от 01.08.2016</t>
  </si>
  <si>
    <t>№198-СМР/2016 от 15.08.2016</t>
  </si>
  <si>
    <t>№181-СМР/2016 от 01.08.2016</t>
  </si>
  <si>
    <t>№205-СМР/2016 от 04.08.2016</t>
  </si>
  <si>
    <t>№186-СМР/2016 от 19.08.2016</t>
  </si>
  <si>
    <t>№139-СМР/2016 от 29.07.2016</t>
  </si>
  <si>
    <t>ООО "Сахадлинская кровля"</t>
  </si>
  <si>
    <t>№202-СМР/2016 от 04.08.2016</t>
  </si>
  <si>
    <t>№173-СМР/2016 от 09.08.2016</t>
  </si>
  <si>
    <t>№187-СМР/2016 от 10.08.2016</t>
  </si>
  <si>
    <t>№160-СМР/2016 от 19.07.2016</t>
  </si>
  <si>
    <t>№150-СМР/2016 от 25.07.2016</t>
  </si>
  <si>
    <t>№100/2-СМР/2016 от 20.06.2016</t>
  </si>
  <si>
    <t>№100/2-СМР/2016 от 20.06.2018</t>
  </si>
  <si>
    <t>№100/2/-СМР/2016 от 20.06.2016</t>
  </si>
  <si>
    <t>№151-СМР/2016 от 02.08.2016</t>
  </si>
  <si>
    <t>№152-СМР/2016 от 03.08.2016</t>
  </si>
  <si>
    <t>№196-СМР/2016 от 15.08.2016</t>
  </si>
  <si>
    <t>№167-СМР/2016 от 03.08.2016</t>
  </si>
  <si>
    <t>№168-СМР/2016 от 04.08.2016</t>
  </si>
  <si>
    <t>ООО "Высота"</t>
  </si>
  <si>
    <t>№201-СМР/2016 от 04.08.2016</t>
  </si>
  <si>
    <t>№213-СМР/2016 от 17.08.2016</t>
  </si>
  <si>
    <t>Крыша (чердачное перекрытие)</t>
  </si>
  <si>
    <t>№180-СМР/2016 от 17.08.2016</t>
  </si>
  <si>
    <t>№179-СМР/2016 от 02.08.2016</t>
  </si>
  <si>
    <t>№ 179-СМР/2016 от 02.08.2016</t>
  </si>
  <si>
    <t>№199-СМР/2016 от 10.08.2016</t>
  </si>
  <si>
    <t>№135-СМР/216 от 12.07.2016</t>
  </si>
  <si>
    <t>№149-СМР/2016 от 25.07.2016</t>
  </si>
  <si>
    <t>ООО "Строительно-Коммерческая Фирма "МИРА"</t>
  </si>
  <si>
    <t>№191-СМР/2016 от 10.08.2016</t>
  </si>
  <si>
    <t>г. Александровск-Сахалинский, ул. Ленина, д. 2</t>
  </si>
  <si>
    <t>№169-СМР/2016 от 05.08.2016</t>
  </si>
  <si>
    <t>№184-СМР/2016 от 15.08.2016</t>
  </si>
  <si>
    <t>ООО СК "ТехноСтрой"</t>
  </si>
  <si>
    <t>№165-СМР/2016 от 16.08.2016</t>
  </si>
  <si>
    <t>№158-СМР/2016 от 02.08.2016</t>
  </si>
  <si>
    <t>ООО  "Стройград-1"</t>
  </si>
  <si>
    <t>№126-СМР/2016 от  06.07.2016</t>
  </si>
  <si>
    <t>ООО "Легион"</t>
  </si>
  <si>
    <t>№128-СМР/2016 от 06.07.2016</t>
  </si>
  <si>
    <t>№162-СМР/2016 от 27.07.2016</t>
  </si>
  <si>
    <t>ООО "Стройуправление"</t>
  </si>
  <si>
    <t xml:space="preserve"> №159-СМР/2016 от 02.08.2016</t>
  </si>
  <si>
    <t>№122-СМР/2016 от 19.07.2016</t>
  </si>
  <si>
    <t xml:space="preserve"> ООО СК "ЭНКИ"</t>
  </si>
  <si>
    <t>№188-СМР/2016 от 10.08.2016</t>
  </si>
  <si>
    <t>№124-СМР/2016 от 28.07.2016</t>
  </si>
  <si>
    <t>№153-СМР/2016 от 02.08.2016</t>
  </si>
  <si>
    <t>№177-СМР/2016 от 01.08.2016</t>
  </si>
  <si>
    <t>№171-СМР/2016 от 12.08.2016</t>
  </si>
  <si>
    <t>01.11.2.016</t>
  </si>
  <si>
    <t>№170-СМР/2016 от 12.08.2016</t>
  </si>
  <si>
    <t>№214-СМР/2016 от 24.08.2016</t>
  </si>
  <si>
    <t>№212-СМР/2016 от 25.08.2016</t>
  </si>
  <si>
    <t>№204-СМР/2016 от 12.08.2016</t>
  </si>
  <si>
    <t>№176-СМР/2016 от 01.08.2016</t>
  </si>
  <si>
    <t>ООО УК "ЖЭУ-7"</t>
  </si>
  <si>
    <t>№182-СМР/2016 от 11.08.2016</t>
  </si>
  <si>
    <t>№183-СМР/2016 от 10.08.2016</t>
  </si>
  <si>
    <t>№210-СМР/2016 от 29.08.2016</t>
  </si>
  <si>
    <t>ИП Джусоев К.И.</t>
  </si>
  <si>
    <t>№216-СМР/2016 от 31.08.2016</t>
  </si>
  <si>
    <t>№178-СМР/2016 от 24.08.2016</t>
  </si>
  <si>
    <t>№218-СМР/2016 от 24.08.2016</t>
  </si>
  <si>
    <t>№217-СМР/2016 от 19.08.2016</t>
  </si>
  <si>
    <t>№154-СМР/2016 от 11.08.2016</t>
  </si>
  <si>
    <t>№224-СМР/2016 от 19.08.2016</t>
  </si>
  <si>
    <t>ООО "Визит"</t>
  </si>
  <si>
    <t>№147-СМР/2016 от 11.08.2016</t>
  </si>
  <si>
    <t xml:space="preserve">г. Южно-Сахалинск, пл. р-н Хомутово, ул. 3-я Набережная, д. 8 </t>
  </si>
  <si>
    <t>№215-СМР/2016 от 01.09.2016</t>
  </si>
  <si>
    <t>№211-СМР/2016 от 29.08.2016</t>
  </si>
  <si>
    <t>ООО "СМК Юнона"</t>
  </si>
  <si>
    <t>№146-СМР/2016 от 25.07.2016</t>
  </si>
  <si>
    <t>№193-СМР/2016 от 22.08.2016</t>
  </si>
  <si>
    <t>Крыша (2 часть)</t>
  </si>
  <si>
    <t>№219-СМР/2016 от 01.09.2016</t>
  </si>
  <si>
    <t>№194-СМР/2016 от 23.08.2016</t>
  </si>
  <si>
    <t>№200-СМР/2016 от 24.08.2016</t>
  </si>
  <si>
    <t>15.102016</t>
  </si>
  <si>
    <t>№172-СМР/2016 от 08.08.2016</t>
  </si>
  <si>
    <t>№207-СМР/2016 от 31.08.2016</t>
  </si>
  <si>
    <t>№220-СМР/2016 от 05.09.2016</t>
  </si>
  <si>
    <t>№ 220-СМР/2016 от 05.09.2016</t>
  </si>
  <si>
    <t>с. Троицкое, ул. Центральная, д. 34</t>
  </si>
  <si>
    <t>№208-СМР/2016 от 02.09.2016</t>
  </si>
  <si>
    <t>ООО "Ситройград-1"</t>
  </si>
  <si>
    <t>01.09.206</t>
  </si>
  <si>
    <t>Стройконтроль</t>
  </si>
  <si>
    <t>№1-СК/2016 от 20.04.2016</t>
  </si>
  <si>
    <t>ООО "СтройКонтроль"</t>
  </si>
  <si>
    <t xml:space="preserve">г. Поронайск, ул. Победы, д.86 </t>
  </si>
  <si>
    <t>№225-СМР/2016 от 05.09.2016</t>
  </si>
  <si>
    <t>№206-СМР/2016 от 31.08.2016</t>
  </si>
  <si>
    <t>№229-СМР/2016 от 02.09.2016</t>
  </si>
  <si>
    <t>№221-СМР/2016 от 01.09.2016</t>
  </si>
  <si>
    <t>№226-СМР/2016 от 12.09.2016</t>
  </si>
  <si>
    <t>№222-СМР/2016 от 01.09.2016</t>
  </si>
  <si>
    <t>№203-СМР/2016 от 18.08.2016</t>
  </si>
  <si>
    <t>ООО "Призма"</t>
  </si>
  <si>
    <t>№230-СМР/2016 от 19.09.2016</t>
  </si>
  <si>
    <t>№223-СМР/2016 от 23.08.2016</t>
  </si>
  <si>
    <t>№227-СМР/2016 от 15.09.2016</t>
  </si>
  <si>
    <t>с. Быков, ул. Горняцкая, д. 11</t>
  </si>
  <si>
    <t>с. Новое, ул. Центральная, д. 13</t>
  </si>
  <si>
    <t>с. Горнозаводск, ул. Артемовская, д. 5</t>
  </si>
  <si>
    <t>г. Оха, ул. 60 лет СССР, д. 36, корп. 3</t>
  </si>
  <si>
    <t>Строительный контроль</t>
  </si>
  <si>
    <t>ПСД на 2017 год</t>
  </si>
  <si>
    <t>г. Холмск, ул. Капитанская, д. 2</t>
  </si>
  <si>
    <t>№255-СМР/2016 от 10.10.2016</t>
  </si>
  <si>
    <t>№250-СМР/2016 от 18.10.2016</t>
  </si>
  <si>
    <t>№237-СМР/2016 от 30.09.2016</t>
  </si>
  <si>
    <t>№240-СМР/2016 от 07.10.2016</t>
  </si>
  <si>
    <t>№246-СМР/2016 от 30.09.2016</t>
  </si>
  <si>
    <t>№245-СМР/2016 от 30.09.2016</t>
  </si>
  <si>
    <t>№244-СМР/2016 от 04.10.2016</t>
  </si>
  <si>
    <t>№233-СМР/2016 от 19.09.2016</t>
  </si>
  <si>
    <t>№231-СМР/2016 от 19.09.2016</t>
  </si>
  <si>
    <t>№232-СМР-2016 от 19.09.2016</t>
  </si>
  <si>
    <t>№241-СМР/2016 от 03.10.2016</t>
  </si>
  <si>
    <t>№239-СМР/2016 от 30.09.2016</t>
  </si>
  <si>
    <t>№238-СМР-2016 от 03.10.2016</t>
  </si>
  <si>
    <t>№143-СМР/2016 от 01.08.2016</t>
  </si>
  <si>
    <t xml:space="preserve">№262-СМР/2016 от 18.10.2016 </t>
  </si>
  <si>
    <t>ООО "Рубин"</t>
  </si>
  <si>
    <t>№144-СМР/2016 от 01.08.2016</t>
  </si>
  <si>
    <t>141-СМР/2016 от 18.07.2016</t>
  </si>
  <si>
    <t>№242-СМР/2016 от 27.09.2016</t>
  </si>
  <si>
    <t>№257-СМР/2016 от 10.10.2016</t>
  </si>
  <si>
    <t>ИП Тишков В.В.</t>
  </si>
  <si>
    <t>№197-СМР/2016 от 10.08.2016</t>
  </si>
  <si>
    <t>№234-СМР/2016 от 19.09.2016</t>
  </si>
  <si>
    <t>ИП Ташуян В Ю</t>
  </si>
  <si>
    <t>№209-СМР/2016 от 12.08.2016</t>
  </si>
  <si>
    <t>№289-СМР/2016 от 21.10.2016</t>
  </si>
  <si>
    <t>№253-СМР/2016 от 18.10.2016</t>
  </si>
  <si>
    <t>№268-СМР/2016 от 18.10.2016</t>
  </si>
  <si>
    <t>№247-СМР/2016 от 10.10.2016</t>
  </si>
  <si>
    <t>№ 264-СМР/2016 от 18.10.2016</t>
  </si>
  <si>
    <t>№ 249-СМР/2016 от 14.10.2016</t>
  </si>
  <si>
    <t>№263-СМР/2016 от 21.10.2016</t>
  </si>
  <si>
    <t>№ 254-СМР/2016 от 18.10.2016</t>
  </si>
  <si>
    <t>№248-СМР/2016 от 03.10.2016</t>
  </si>
  <si>
    <t>№256-СМР/2016 от 18.10.2016</t>
  </si>
  <si>
    <t>№243-СМР/2016 от 23.09.2016</t>
  </si>
  <si>
    <t>№ 277-СМР/2016 от 20.10.2016</t>
  </si>
  <si>
    <t>№ 276-СМР/2016 от 21.10.2016</t>
  </si>
  <si>
    <t>№288-СМР/2016 от 25.10.2016</t>
  </si>
  <si>
    <t>№284-СМР/2016 от 25.10.2016</t>
  </si>
  <si>
    <t>№282-СМР/2016 от 03.11.2016</t>
  </si>
  <si>
    <t>№ 265-СМР/2016 от 19.10.2016</t>
  </si>
  <si>
    <t>№ 275-СМР/2016 от 24.10.2016</t>
  </si>
  <si>
    <t>ООО "Компания Стройсмодуль"</t>
  </si>
  <si>
    <t>№ 271-СМР/2016 от 24.10.2016</t>
  </si>
  <si>
    <t>№ 296-СМР/2016 от 31.10.2016</t>
  </si>
  <si>
    <t>№ 281-СМР/2016 от 26.10.2016</t>
  </si>
  <si>
    <t>№ 294-СМР/2016 от 31.10.2016</t>
  </si>
  <si>
    <t>№285-СМР/2016 от 28.10.2016</t>
  </si>
  <si>
    <t>№267-СМР/2016 от 19.10.2016</t>
  </si>
  <si>
    <t>№252-СМР/2016 от 18.10.2016</t>
  </si>
  <si>
    <t>№259-СМР/2016 от 18.10.216</t>
  </si>
  <si>
    <t>№270-СМР/2016 от 24.10.2016</t>
  </si>
  <si>
    <t>ИП Ташуян Вагаршак Юрьевич</t>
  </si>
  <si>
    <t>№272-СМР/2016 от 24.10.2016</t>
  </si>
  <si>
    <t>№262-СМР/2016 от 18.10.2016</t>
  </si>
  <si>
    <t>№278-СМР/2016 от 24.10.2016</t>
  </si>
  <si>
    <t>№273-СМР/2016 от 21.10.2016</t>
  </si>
  <si>
    <t>№261-СМР/2016 от 19.10.2016</t>
  </si>
  <si>
    <t>№287-СМР/2016 от 21.10.2016</t>
  </si>
  <si>
    <t>№283-СМР/2016 от 27.10.2016</t>
  </si>
  <si>
    <t>№251-СМР/2016 от 10.10.2016</t>
  </si>
  <si>
    <t>№13-ПД/2017 от 02.11.2016</t>
  </si>
  <si>
    <t xml:space="preserve">Северо-Курильск, ул. 60 лет Октября, д. 1, лит. А </t>
  </si>
  <si>
    <t>Северо-Курильск, ул. 60 лет Октября, д. 1, лит. Б</t>
  </si>
  <si>
    <t>Северо-Курильск, ул. Вилкова, д. 11</t>
  </si>
  <si>
    <t>Северо-Курильск, ул. Вилкова, д. 3</t>
  </si>
  <si>
    <t>Северо-Курильск, ул. Вилкова, д. 30</t>
  </si>
  <si>
    <t>Северо-Курильск, ул. Вилкова, д. 7, лит. А</t>
  </si>
  <si>
    <t>Северо-Курильск, ул. Сахалинская, д. 59, лит. А</t>
  </si>
  <si>
    <t>Северо-Курильск, ул. Шутова, д. 30</t>
  </si>
  <si>
    <t>г. Макаров, ул. Школьная, д. 23</t>
  </si>
  <si>
    <t>г. Макаров, ул. Школьная, д. 23, лит.А</t>
  </si>
  <si>
    <t>г. Макаров, ул. Ленинградская, д.14</t>
  </si>
  <si>
    <t>г. Макаров, ул. Красноармейская, д. 30</t>
  </si>
  <si>
    <t>г. Макаров, ул. Красноармейская, д. 22</t>
  </si>
  <si>
    <t>№ 10-ПД/2017 от 02.11.2016г.</t>
  </si>
  <si>
    <t>ОО "СК Техно-Строй"ген.дир. Павлов А.О.тел. 300-954</t>
  </si>
  <si>
    <t>с. Горнозаводск, ул. Советская, д. 61</t>
  </si>
  <si>
    <t>с. Горнозаводск, ул. Советская, д. 59</t>
  </si>
  <si>
    <t>г. Невельск, ул. Школьная, д. 87</t>
  </si>
  <si>
    <t>г. Невельск, ул. Ленина, д. 82</t>
  </si>
  <si>
    <t>г. Невельск, ул. Ленина, д. 65</t>
  </si>
  <si>
    <t>№ 3-ПД/2017 от 02.11.2016</t>
  </si>
  <si>
    <t>Курильск, ул. 60 лет Октября, д. 10</t>
  </si>
  <si>
    <t>Курильск, ул. 60 лет Октября, д. 4</t>
  </si>
  <si>
    <t>Курильск, ул. 60 лет Октября, д. 5</t>
  </si>
  <si>
    <t>Курильск, ул. 60 лет Октября, д. 6</t>
  </si>
  <si>
    <t>№ 2-ПД/2017 от 02.11.2016</t>
  </si>
  <si>
    <t>г. Поронайск, ул. Восточная, д. 125, лит. А</t>
  </si>
  <si>
    <t>г. Поронайск, ул. Гагарина, д. 3</t>
  </si>
  <si>
    <t>г. Поронайск, ул. Сахалинская, д. 11</t>
  </si>
  <si>
    <t>г. Поронайск, ул. Сахалинская, д. 13</t>
  </si>
  <si>
    <t>г. Поронайск, ул. Советская, д. 35, лит. А</t>
  </si>
  <si>
    <t>пгт. Вахрушев, ул. Центральная, д. 74</t>
  </si>
  <si>
    <t>пгт. Вахрушев, ул. Центральная, д. 76</t>
  </si>
  <si>
    <t>№ 5-ПД/2017 от 24.10.2016</t>
  </si>
  <si>
    <t>г. Холмск, ул. 60 лет Октября, д. 8</t>
  </si>
  <si>
    <t>г. Холмск, ул. Крузерштерна, д. 2 лит. Д</t>
  </si>
  <si>
    <t>г. Холмск, ул. Молодежная, д. 17</t>
  </si>
  <si>
    <t>г. Холмск, ул. Победы, д. 1</t>
  </si>
  <si>
    <t>г. Холмск, ул. Победы, д. 2</t>
  </si>
  <si>
    <t>г. Холмск, ул. Портовая, д. 8, лит. А</t>
  </si>
  <si>
    <t>г. Холмск, ул. Советская, д. 130</t>
  </si>
  <si>
    <t>г. Холмск, ул. Советская, д. 68</t>
  </si>
  <si>
    <t>г. Холмск, ул. Советская, д. 98</t>
  </si>
  <si>
    <t>с. Костромское, ул. Огородная, д. 4</t>
  </si>
  <si>
    <t>с. Костромское, ул. Школьная, д. 7</t>
  </si>
  <si>
    <t>с. Правда, ул. Речная, д. 50</t>
  </si>
  <si>
    <t>с. Правда, ул. Речная, д. 57</t>
  </si>
  <si>
    <t>с. Правда, ул. Центральная, д. 13</t>
  </si>
  <si>
    <t>с. Чехов, ул. Фабричная, д. 10</t>
  </si>
  <si>
    <t>с. Чехов, ул. Фабричная, д. 8</t>
  </si>
  <si>
    <t>с. Яблочное, ул. Центиральная, д. 50, лит. А</t>
  </si>
  <si>
    <t>с. Яблочное, ул. Центиральная, д. 50, лит. В</t>
  </si>
  <si>
    <t>с. Яблочное, ул. Центиральная, д. 88, лит. А</t>
  </si>
  <si>
    <t>№ 8-ПД/2017 от 24.10.2016</t>
  </si>
  <si>
    <t>г. Корсаков, ул. 2-й микрорайон, д. 5</t>
  </si>
  <si>
    <t>г. Корсаков, б-р. Приморский, д. 12</t>
  </si>
  <si>
    <t>г. Корсаков, ул. Советская, д. 16</t>
  </si>
  <si>
    <t>г. Корсаков, ул. Советская, д. 18</t>
  </si>
  <si>
    <t>г. Корсаков, ул. Советская, д. 49</t>
  </si>
  <si>
    <t>с. Озерское, ул. Центральная, д. 70</t>
  </si>
  <si>
    <t>с. Соловьевка, д. 271</t>
  </si>
  <si>
    <t>с. Соловьевка, д. 272</t>
  </si>
  <si>
    <t>с. Соловьевка, д. 273</t>
  </si>
  <si>
    <t>с. Третья Падь, д. 33</t>
  </si>
  <si>
    <t>с. Третья Падь, д. 34</t>
  </si>
  <si>
    <t>№ 12-ПД/2017 от 28,10.2016</t>
  </si>
  <si>
    <t>№260-СМР/2016 от 17.10.2016</t>
  </si>
  <si>
    <t>№266-СМР/2016 от 23.10.2016</t>
  </si>
  <si>
    <t>№280-СМР/2016 от 27.10.2016</t>
  </si>
  <si>
    <t>№258-СМР/2016 от 17.10.2016</t>
  </si>
  <si>
    <t>№274-СМР/2016 от 17.10.2016</t>
  </si>
  <si>
    <t>№298-СМР/2016</t>
  </si>
  <si>
    <t>№292-СМР/2016 от 01.11.2016</t>
  </si>
  <si>
    <t>ООО "Скала"</t>
  </si>
  <si>
    <t>№293-СМР/2016 от 01.11.2016</t>
  </si>
  <si>
    <t>№297-СМР/2016 от 01.11.2016</t>
  </si>
  <si>
    <t>№300-СМР/2016 от 01.11.2016</t>
  </si>
  <si>
    <t>№291-СМР/2016</t>
  </si>
  <si>
    <t>№295-СМР/2016 от 31.10.2016</t>
  </si>
  <si>
    <t>ООО "Строительно-промышленная компания"</t>
  </si>
  <si>
    <t>№279-СМР/2016 от 27.10.2016</t>
  </si>
  <si>
    <t>№290-СМР/2016 от 21.10.2016</t>
  </si>
  <si>
    <t>№286-СМР/2016 от 17.10.2016</t>
  </si>
  <si>
    <t>№299-СМР/2016 от 01.11.2016</t>
  </si>
  <si>
    <t>№175-СМР-2016 от 04.08.2016</t>
  </si>
  <si>
    <t>№228-СМР/2016 от 19.09.2016</t>
  </si>
  <si>
    <t>И.о. генерального директора</t>
  </si>
  <si>
    <t>Н.А.Мизинина</t>
  </si>
  <si>
    <t>№235-СМР/2016 от 19.09.2016</t>
  </si>
  <si>
    <t>г. Углегорск, ул. Победы, д. 182</t>
  </si>
  <si>
    <t>г. Углегорск, ул. Победы, д. 182, лит. А</t>
  </si>
  <si>
    <t>г. Углегорск, ул. Рабочая, д. 2</t>
  </si>
  <si>
    <t>с. Краснополье, ул. Юбилейная, д. 29</t>
  </si>
  <si>
    <t>г. Шахтерск, ул. Интернациональная, д. 19</t>
  </si>
  <si>
    <t>г. Шахтерск, ул. Интернациональная, д. 23</t>
  </si>
  <si>
    <t>г. Шахтерск, ул. Интернациональная, д. 26</t>
  </si>
  <si>
    <t>№1-ПД/2017 от 27.10.2016</t>
  </si>
  <si>
    <t>г. Углегорск, ул. Свободная, д. 45</t>
  </si>
  <si>
    <t>ООО "ПРИЗМА"</t>
  </si>
  <si>
    <t>№14-ПД/207 от 28.10.2016</t>
  </si>
  <si>
    <t>с. Дальнее, ул. Садовая, д. 19</t>
  </si>
  <si>
    <t>г. Южно-Сахалинск, ул. Южно-Сахалинская, д.8</t>
  </si>
  <si>
    <t>№11-ПД/2017 от 27.10.2016</t>
  </si>
  <si>
    <t>ООО РОТАРИ-2000"</t>
  </si>
  <si>
    <t>п/р. Луговое, ул. Дружбы, д. 64</t>
  </si>
  <si>
    <t>п/р. Луговое, ул. Дружбы, д. 68</t>
  </si>
  <si>
    <t>п/р. Луговое, ул. Дружбы, д. 70</t>
  </si>
  <si>
    <t>п/р. Луговое, ул. Дружбы, д. 76</t>
  </si>
  <si>
    <t>п/р. Луговое, ул. Дружбы, д. 83, лит. А</t>
  </si>
  <si>
    <t>п/р. Луговое, ул. Дружбы, д. 84</t>
  </si>
  <si>
    <t>п/р. Луговое, ул. Дружбы, д. 88</t>
  </si>
  <si>
    <t>п/р. Луговое, ул. Дружбы, д. 90</t>
  </si>
  <si>
    <t>с. Дальнее, ул. Новая, д. 14</t>
  </si>
  <si>
    <t>с. Дальнее, ул. Садовая, д. 15</t>
  </si>
  <si>
    <t>с. Дальнее, ул. Студенческая, д. 13</t>
  </si>
  <si>
    <t>с. Дальнее, ул. Студенческая, д. 17</t>
  </si>
  <si>
    <t>с. Елочки, ул. Верхняя, д. 4</t>
  </si>
  <si>
    <t>с. Елочки, ул. Центральная, д. 8</t>
  </si>
  <si>
    <t>г. Южно-Сахалинск, ул. Авиационная, д. 65</t>
  </si>
  <si>
    <t>г. Южно-Сахалинск, ул. Амурская, д. 94</t>
  </si>
  <si>
    <t>г. Южно-Сахалинск, ул. Амурская, д. 96</t>
  </si>
  <si>
    <t>г. Южно-Сахалинск, ул. Больничная, д. 38</t>
  </si>
  <si>
    <t>г. Южно-Сахалинск, ул. Детская, д. 12</t>
  </si>
  <si>
    <t>г. Южно-Сахалинск, ул. Им Космонавта Поповича, д. 42</t>
  </si>
  <si>
    <t>г. Южно-Сахалинск, ул. Им Космонавта Поповича, д. 44</t>
  </si>
  <si>
    <t>г. Южно-Сахалинск, ул. Ленина, д. 164</t>
  </si>
  <si>
    <t>г. Южно-Сахалинск, ул. Невельская, д. 3</t>
  </si>
  <si>
    <t>г. Южно-Сахалинск, ул. Пограничная, д. 60, лит. А</t>
  </si>
  <si>
    <t>г. Южно-Сахалинск, ул. Сахалинская, д. 100</t>
  </si>
  <si>
    <t>г. Южно-Сахалинск, ул. Сахалинская, д. 32</t>
  </si>
  <si>
    <t>г. Южно-Сахалинск, ул. Сахалинская, д. 41</t>
  </si>
  <si>
    <t>г. Южно-Сахалинск, ул. Сахалинская, д. 43</t>
  </si>
  <si>
    <t>г. Южно-Сахалинск, ул. Украинская, д. 45</t>
  </si>
  <si>
    <t>г. Южно-Сахалинск, ул. Чехова, д. 172, лит. А</t>
  </si>
  <si>
    <t>№15-ПД/2017 от 24.10.2016</t>
  </si>
  <si>
    <t>ООО "Дельта"</t>
  </si>
  <si>
    <t>г. Южно-Сахалинск, ул. Авиационная, д. 63</t>
  </si>
  <si>
    <t>г. Южно-Сахалинск, ул. Бумажная, д. 24, лит. В</t>
  </si>
  <si>
    <t>г. Южно-Сахалинск, ул. Ленина, д. 196</t>
  </si>
  <si>
    <t>г. Южно-Сахалинск, ул. Ленина, д. 279</t>
  </si>
  <si>
    <t>г. Южно-Сахалинск, ул. Ленина, д. 281</t>
  </si>
  <si>
    <t>г. Южно-Сахалинск, ул. Ленина, д. 285</t>
  </si>
  <si>
    <t>г. Южно-Сахалинск, ул. Ленина, д. 319</t>
  </si>
  <si>
    <t>г. Южно-Сахалинск, ул. Пограничная, д. 58</t>
  </si>
  <si>
    <t>г. Южно-Сахалинск, ул. Пограничная, д. 58, лит. А</t>
  </si>
  <si>
    <t xml:space="preserve"> г. Южно-Сахалинск ул. Пушкина, д. 120</t>
  </si>
  <si>
    <t>г. Южно-Сахалинск ул. Чехова, д. 164</t>
  </si>
  <si>
    <t>г. Южно-Сахалинск ул. Чехова, д. 174</t>
  </si>
  <si>
    <t>г. Южно-Сахалинск ул. Тихоокеанская, д. 12, лит. А</t>
  </si>
  <si>
    <t>г. Южно-Сахалинск ул. Тихоокеанская, д. 2</t>
  </si>
  <si>
    <t>г. Южно-Сахалинск ул. Тихоокеанская, д. 4</t>
  </si>
  <si>
    <t>г. Южно-Сахалинск ул. Украинская, д. 111, лит. А</t>
  </si>
  <si>
    <t>г. Южно-Сахалинск ул. Физкультурная, д. 120</t>
  </si>
  <si>
    <t>г. Южно-Сахалинск ул. Физкультурная, д. 128</t>
  </si>
  <si>
    <t>г. Южно-Сахалинск ул. Физкультурная, д. 130</t>
  </si>
  <si>
    <t xml:space="preserve"> п/р. Ново-Александровск, ул. Восточная, д. 22</t>
  </si>
  <si>
    <t>г. Южно-Сахалинск, ул. Алексея Максимовича Горького, д. 62</t>
  </si>
  <si>
    <t>г. Южно-Сахалинск, ул. Емельянова А.О., д. 7</t>
  </si>
  <si>
    <t>г. Южно-Сахалинск, ул. Есенина, д. 42</t>
  </si>
  <si>
    <t>г. Южно-Сахалинск, ул. Железнодорожная, д. 81</t>
  </si>
  <si>
    <t>г. Южно-Сахалинск, ул. Им Космонавта Поповича, д. 25</t>
  </si>
  <si>
    <t>г. Южно-Сахалинск, ул. Пограничная, д. 65</t>
  </si>
  <si>
    <t>г. Южно-Сахалинск, ул. Сахалинская, д. 108, лит. А</t>
  </si>
  <si>
    <t>№7-ПД/2016 от 24.10.2016</t>
  </si>
  <si>
    <t>ООО Дельта"</t>
  </si>
  <si>
    <t>г. Южно-Сахалинск, пр-кт. Мира, д. 371, лит. Б</t>
  </si>
  <si>
    <t>г. Южно-Сахалинск, ул. Комсомольская, д. 280, лит. А</t>
  </si>
  <si>
    <t>г. Южно-Сахалинск, ул. Курильская, д. 18</t>
  </si>
  <si>
    <t>г. Южно-Сахалинск, ул. Курильская, д. 18, лит. А</t>
  </si>
  <si>
    <t>г. Южно-Сахалинск, ул. Курильская, д. 2</t>
  </si>
  <si>
    <t>г. Южно-Сахалинск, ул. Курильская, д. 6, лит. А</t>
  </si>
  <si>
    <t>г. Южно-Сахалинск, ул. Курильская, д. 8, лит. А</t>
  </si>
  <si>
    <t>г. Южно-Сахалинск, ул. Ленина, д. 293, лит. А</t>
  </si>
  <si>
    <t>г. Южно-Сахалинск, ул. Ленина, д. 314, лит. Б</t>
  </si>
  <si>
    <t>г. Южно-Сахалинск, ул. Ленина, д. 482</t>
  </si>
  <si>
    <t>г. Южно-Сахалинск, ул. Невельская, д. 31</t>
  </si>
  <si>
    <t>г. Южно-Сахалинск, ул. Саранская, д. 8</t>
  </si>
  <si>
    <t>г. Южно-Сахалинск, ул. Сахалинская, д. 25</t>
  </si>
  <si>
    <t>г. Южно-Сахалинск, ул. Сахалинская, д. 33</t>
  </si>
  <si>
    <t>г. Южно-Сахалинск, ул. Сахалинская, д. 34</t>
  </si>
  <si>
    <t>г. Южно-Сахалинск, ул. Тихоокеанская, д. 10, лит. А</t>
  </si>
  <si>
    <t>п/р. Луговое, ул. 2-я Железнодорожная, д. 33, лит. А</t>
  </si>
  <si>
    <t>п/р. Луговое, ул. 2-я Железнодорожная, д. 35, лит. А</t>
  </si>
  <si>
    <t>п/р. Луговое, ул. 2-я Железнодорожная, д. 37, лит. А</t>
  </si>
  <si>
    <t>п/р. Луговое, ул. 2-я Набережная, д. 72</t>
  </si>
  <si>
    <t>п/р. Луговое, ул. Дружбы, д. 99</t>
  </si>
  <si>
    <t>п/р. Луговое, ул. имени В.Гайдука, д. 39</t>
  </si>
  <si>
    <t>№18-ПД/2017 от 24.10.2016</t>
  </si>
  <si>
    <t>г. Южно-Сахалинск, пр-кт. Коммунистический, д. 1</t>
  </si>
  <si>
    <t>г. Южно-Сахалинск, пр-кт. Коммунистический, д. 74</t>
  </si>
  <si>
    <t>г. Южно-Сахалинск, пр-кт. Мира, д. 163</t>
  </si>
  <si>
    <t>г. Южно-Сахалинск, пр-кт. Мира, д. 2, лит. В</t>
  </si>
  <si>
    <t>г. Южно-Сахалинск, пр-кт. Мира, д. 5, корп. 3</t>
  </si>
  <si>
    <t>г. Южно-Сахалинск, пр-кт. Мира, д. 5, корп. 4</t>
  </si>
  <si>
    <t>г. Южно-Сахалинск, пр-кт. Победы, д. 50</t>
  </si>
  <si>
    <t>г. Южно-Сахалинск, проезд. Спортивный, д. 3</t>
  </si>
  <si>
    <t>г. Южно-Сахалинск, ул. Авиационная, д. 67</t>
  </si>
  <si>
    <t>г. Южно-Сахалинск, ул. Институтская, д. 18, лит. Б</t>
  </si>
  <si>
    <t>г. Южно-Сахалинск, ул. Карьерная, д. 33</t>
  </si>
  <si>
    <t>г. Южно-Сахалинск, ул. Карьерная, д. 39</t>
  </si>
  <si>
    <t>г. Оха, ул. 60 лет СССР, д. 13</t>
  </si>
  <si>
    <t>г. Оха, ул. 60 лет СССР, д. 36, корп.3</t>
  </si>
  <si>
    <t>г. Оха, ул. Ленина, д. 42</t>
  </si>
  <si>
    <t>г. Оха, ул. Цапко, д. 12, корп. 2</t>
  </si>
  <si>
    <t>г. Оха, ул. Корейская, д. 18</t>
  </si>
  <si>
    <t>с. Некрасовка, ул. Октябрьская, д. 16</t>
  </si>
  <si>
    <t>с. Некрасовка, ул. Октябрьская, д. 17</t>
  </si>
  <si>
    <t>с. Некрасовка, ул. Октябрьская, д. 18</t>
  </si>
  <si>
    <t>с. Некрасовка, ул. Октябрьская, д. 20</t>
  </si>
  <si>
    <t>с. Некрасовка, ул. Октябрьская, д. 24</t>
  </si>
  <si>
    <t>с. Некрасовка, ул. Октябрьская, д. 99</t>
  </si>
  <si>
    <t>с. Некрасовка, ул. Парковая, д. 13, лит. А</t>
  </si>
  <si>
    <t>№17-ПД/2017 от 24.10.2016</t>
  </si>
  <si>
    <t>ООО "Стройгазпроект"</t>
  </si>
  <si>
    <t>пгт. Ноглики, пер. Северный, д. 9</t>
  </si>
  <si>
    <t>пгт. Ноглики, ул. Сахалинская, д. 6</t>
  </si>
  <si>
    <t>пгт. Ноглики, ул. Советская, д. 57</t>
  </si>
  <si>
    <t>пгт. Ноглики, ул. Физкультурная, д. 27</t>
  </si>
  <si>
    <t>№19-ПД/2017 от 24.10.2016</t>
  </si>
  <si>
    <t>г. Анива, ул. Невельского, д. 24</t>
  </si>
  <si>
    <t>с. Троицкое, ул. Гвардейская, д. 6</t>
  </si>
  <si>
    <t>с. Троицкое, ул. Центральная, д. 30</t>
  </si>
  <si>
    <t>г. Анива, ул. Дьяконова, д. 15</t>
  </si>
  <si>
    <t>№20-ПД/2017 от 28.10.2016</t>
  </si>
  <si>
    <t>Южно-Курильск, кв-л Рыбников, д.11</t>
  </si>
  <si>
    <t>Южно-Курильск, кв-л Рыбников, д.15</t>
  </si>
  <si>
    <t>Южно-Курильск, кв-л Рыбников, д.19</t>
  </si>
  <si>
    <t>Южно-Курильск, кв-л Рыбников, д.20</t>
  </si>
  <si>
    <t>Южно-Курильск, ул. 60 лет ВЛКСМ, д. 1, лит. А</t>
  </si>
  <si>
    <t>с. Крабозаводское, ул. Нагорная, д. 6</t>
  </si>
  <si>
    <t>с. Малокурильское, ул. Черемушки, д. 13</t>
  </si>
  <si>
    <t>с. Малокурильское, ул. Черемушки, д. 8</t>
  </si>
  <si>
    <t>№9-ПД/2017 от 02.11.2016</t>
  </si>
  <si>
    <t>с. Углезаводск, ул. Победы, д. 8</t>
  </si>
  <si>
    <t>с. Покровка, ул. Новая, д. 12</t>
  </si>
  <si>
    <t>с. Взморье, пер. Горный, д. 2</t>
  </si>
  <si>
    <t>с. Быков, ул. Шахтерская, д. 8</t>
  </si>
  <si>
    <t>с. Быков, ул. Торговая, д. 5</t>
  </si>
  <si>
    <t>г. Долинск, ул. Ленина, д. 25</t>
  </si>
  <si>
    <t>№6-ПД/2017 от 28.10.2016</t>
  </si>
  <si>
    <t>пгт. Тымовское, ул. Библионтечная, д. 12</t>
  </si>
  <si>
    <t>пгт. Тымовское, ул. Библионтечная, д. 16</t>
  </si>
  <si>
    <t>пгт. Тымовское, ул. Кировская, д. 102</t>
  </si>
  <si>
    <t>пгт. Тымовское, ул. Кировская, д. 47</t>
  </si>
  <si>
    <t>пгт. Тымовское, ул. Криворучко, д. 36</t>
  </si>
  <si>
    <t>пгт. Тымовское, ул. Октябрьская, д. 83</t>
  </si>
  <si>
    <t>пгт. Тымовское, ул. Первомайская, д. 2</t>
  </si>
  <si>
    <t>пгт. Тымовское, ул. Первомайская, д. 4</t>
  </si>
  <si>
    <t>№4-ПД/2017 от 24.10.2016</t>
  </si>
  <si>
    <t>г. Александровск-Сахалинский, ул. Герцена, д. 2, лит. А</t>
  </si>
  <si>
    <t>г. Александровск-Сахалинский, ул. Дзержинского, д. 12</t>
  </si>
  <si>
    <t>г. Александровск-Сахалинский, ул. Ленина, д. 10</t>
  </si>
  <si>
    <t>г. Александровск-Сахалинский, ул. Ленина, д. 14, лит. А</t>
  </si>
  <si>
    <t>г. Александровск-Сахалинский, ул. Ново-Октябрьская, д. 5</t>
  </si>
  <si>
    <t>г. Александровск-Сахалинский, ул. Советская, д. 18</t>
  </si>
  <si>
    <t>с. Мгачи, ул. Первомайская, д. 32</t>
  </si>
  <si>
    <t>с. Мгачи, ул. Советская, д. 1</t>
  </si>
  <si>
    <t>№21-ПД/2017 от  24.10.2016</t>
  </si>
  <si>
    <t>№16-ПД/2017 от 24.10.2016</t>
  </si>
  <si>
    <t>№63-ПД-2016 от 10.03.2016</t>
  </si>
  <si>
    <t>ООО "Империя Строительства"</t>
  </si>
  <si>
    <t>№63-ПД/2016 от 10.03.2016</t>
  </si>
  <si>
    <t>№63-ПД/2016 от 03.10.2016</t>
  </si>
  <si>
    <t>ООО "Компания Строительства"</t>
  </si>
  <si>
    <t>исключить</t>
  </si>
  <si>
    <t>№ 242-СМР/2016 от 27.09.2016</t>
  </si>
  <si>
    <t>№236-СМР/2016 от 21.09.2016</t>
  </si>
  <si>
    <t>№166-СМР/2016 от 05.08.2016</t>
  </si>
  <si>
    <t xml:space="preserve">г. Южно-Сахалинск, ул. Емельянова А.О., д. 33 </t>
  </si>
  <si>
    <t>г. Южно-Сахалинск, ул. Сахалинская, д. 21</t>
  </si>
  <si>
    <t>09,01.2017</t>
  </si>
  <si>
    <t>09,01.2018</t>
  </si>
  <si>
    <t>09,01.2019</t>
  </si>
  <si>
    <t>09,01.2020</t>
  </si>
  <si>
    <t>09,01.2021</t>
  </si>
  <si>
    <t>09,01.2022</t>
  </si>
  <si>
    <t>09,01.2023</t>
  </si>
  <si>
    <t>09,01.2024</t>
  </si>
  <si>
    <t>09,01.2025</t>
  </si>
  <si>
    <t>09,01.2026</t>
  </si>
  <si>
    <t>09,01.2027</t>
  </si>
  <si>
    <t>Плановая стоимость работы (услуги) по краткосрочному плану, утв. Пост. ПСО от 19.12.2016 № 629</t>
  </si>
  <si>
    <t>с. Рейдово, ул. Зеленая,д. 1</t>
  </si>
  <si>
    <t>13.02.23017</t>
  </si>
  <si>
    <t>08.08.2016 01.03.2017</t>
  </si>
  <si>
    <t>г. Долинск, ул. Комсомольская, д. 29, лит А</t>
  </si>
  <si>
    <t>г. Долинск, ул. Комсомольская, д. 16</t>
  </si>
  <si>
    <t>02-СМР/2017 от 31.03.2017</t>
  </si>
  <si>
    <t>Сведения о выполнении работ (услуг) по капитальному ремонту  в рамках реализации краткосрочного плана 2016 года реализации  региональной программы
 капитального ремонта общего имущества в многоквартирных домах на  01.07.2017г.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</si>
</sst>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881">
    <xf numFmtId="0" fontId="0" fillId="0" borderId="0" xfId="0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8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4" fontId="2" fillId="8" borderId="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4" fontId="3" fillId="8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vertical="center" wrapText="1"/>
    </xf>
    <xf numFmtId="0" fontId="9" fillId="4" borderId="19" xfId="0" applyNumberFormat="1" applyFont="1" applyFill="1" applyBorder="1" applyAlignment="1">
      <alignment vertical="center" wrapText="1"/>
    </xf>
    <xf numFmtId="4" fontId="11" fillId="8" borderId="4" xfId="0" applyNumberFormat="1" applyFont="1" applyFill="1" applyBorder="1" applyAlignment="1">
      <alignment horizontal="center" vertical="center" wrapText="1"/>
    </xf>
    <xf numFmtId="4" fontId="11" fillId="8" borderId="13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4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14" fontId="9" fillId="8" borderId="20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4" fontId="11" fillId="8" borderId="2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11" fillId="6" borderId="2" xfId="4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9" fillId="8" borderId="17" xfId="0" applyNumberFormat="1" applyFont="1" applyFill="1" applyBorder="1" applyAlignment="1">
      <alignment horizontal="center" vertical="center" wrapText="1"/>
    </xf>
    <xf numFmtId="4" fontId="11" fillId="8" borderId="7" xfId="0" applyNumberFormat="1" applyFont="1" applyFill="1" applyBorder="1" applyAlignment="1">
      <alignment horizontal="center" vertical="center" wrapText="1"/>
    </xf>
    <xf numFmtId="4" fontId="11" fillId="8" borderId="17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4" fontId="11" fillId="8" borderId="7" xfId="4" applyNumberFormat="1" applyFont="1" applyFill="1" applyBorder="1" applyAlignment="1">
      <alignment horizontal="center" vertical="center" wrapText="1"/>
    </xf>
    <xf numFmtId="14" fontId="9" fillId="8" borderId="7" xfId="0" applyNumberFormat="1" applyFont="1" applyFill="1" applyBorder="1" applyAlignment="1">
      <alignment horizontal="center" vertical="center" wrapText="1"/>
    </xf>
    <xf numFmtId="4" fontId="9" fillId="8" borderId="7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4" fontId="11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4" fontId="11" fillId="8" borderId="30" xfId="0" applyNumberFormat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1" fillId="8" borderId="13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33" xfId="4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1" fillId="8" borderId="4" xfId="4" applyNumberFormat="1" applyFont="1" applyFill="1" applyBorder="1" applyAlignment="1">
      <alignment horizontal="center" vertical="center" wrapText="1"/>
    </xf>
    <xf numFmtId="4" fontId="11" fillId="8" borderId="11" xfId="0" applyNumberFormat="1" applyFont="1" applyFill="1" applyBorder="1" applyAlignment="1">
      <alignment horizontal="center" vertical="center" wrapText="1"/>
    </xf>
    <xf numFmtId="4" fontId="11" fillId="8" borderId="33" xfId="4" applyNumberFormat="1" applyFont="1" applyFill="1" applyBorder="1" applyAlignment="1">
      <alignment horizontal="center" vertical="center" wrapText="1"/>
    </xf>
    <xf numFmtId="4" fontId="9" fillId="8" borderId="11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7" xfId="0" applyNumberFormat="1" applyFont="1" applyFill="1" applyBorder="1" applyAlignment="1">
      <alignment horizontal="center" vertical="center" wrapText="1"/>
    </xf>
    <xf numFmtId="4" fontId="10" fillId="4" borderId="27" xfId="0" applyNumberFormat="1" applyFont="1" applyFill="1" applyBorder="1" applyAlignment="1">
      <alignment horizontal="center" vertical="center" wrapText="1"/>
    </xf>
    <xf numFmtId="4" fontId="9" fillId="8" borderId="13" xfId="0" applyNumberFormat="1" applyFont="1" applyFill="1" applyBorder="1" applyAlignment="1">
      <alignment horizontal="center" vertical="center" wrapText="1"/>
    </xf>
    <xf numFmtId="4" fontId="9" fillId="8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4" fontId="11" fillId="9" borderId="2" xfId="0" applyNumberFormat="1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9" fontId="9" fillId="0" borderId="4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10" fillId="8" borderId="7" xfId="0" applyNumberFormat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4" fontId="8" fillId="4" borderId="27" xfId="0" applyNumberFormat="1" applyFont="1" applyFill="1" applyBorder="1" applyAlignment="1">
      <alignment horizontal="center" vertical="center" wrapText="1"/>
    </xf>
    <xf numFmtId="14" fontId="9" fillId="8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9" fontId="9" fillId="0" borderId="19" xfId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horizontal="center" vertical="center" wrapText="1"/>
    </xf>
    <xf numFmtId="4" fontId="10" fillId="4" borderId="26" xfId="0" applyNumberFormat="1" applyFont="1" applyFill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30" xfId="0" applyNumberFormat="1" applyFont="1" applyFill="1" applyBorder="1" applyAlignment="1">
      <alignment horizontal="center" vertical="center" wrapText="1"/>
    </xf>
    <xf numFmtId="14" fontId="11" fillId="3" borderId="1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9" fillId="4" borderId="27" xfId="0" applyNumberFormat="1" applyFont="1" applyFill="1" applyBorder="1" applyAlignment="1">
      <alignment horizontal="center" vertical="center" wrapText="1"/>
    </xf>
    <xf numFmtId="4" fontId="11" fillId="8" borderId="16" xfId="2" applyNumberFormat="1" applyFont="1" applyFill="1" applyBorder="1" applyAlignment="1">
      <alignment horizontal="center" vertical="center" wrapText="1"/>
    </xf>
    <xf numFmtId="4" fontId="9" fillId="8" borderId="30" xfId="0" applyNumberFormat="1" applyFont="1" applyFill="1" applyBorder="1" applyAlignment="1">
      <alignment horizontal="center" vertical="center" wrapText="1"/>
    </xf>
    <xf numFmtId="4" fontId="9" fillId="8" borderId="20" xfId="0" applyNumberFormat="1" applyFont="1" applyFill="1" applyBorder="1" applyAlignment="1">
      <alignment horizontal="center" vertical="center" wrapText="1"/>
    </xf>
    <xf numFmtId="4" fontId="11" fillId="8" borderId="1" xfId="2" applyNumberFormat="1" applyFont="1" applyFill="1" applyBorder="1" applyAlignment="1">
      <alignment horizontal="center" vertical="center" wrapText="1"/>
    </xf>
    <xf numFmtId="4" fontId="11" fillId="8" borderId="2" xfId="2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" fontId="9" fillId="8" borderId="17" xfId="0" applyNumberFormat="1" applyFont="1" applyFill="1" applyBorder="1" applyAlignment="1">
      <alignment horizontal="center" vertical="center" wrapText="1"/>
    </xf>
    <xf numFmtId="4" fontId="11" fillId="8" borderId="4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4" fontId="11" fillId="8" borderId="4" xfId="0" applyNumberFormat="1" applyFont="1" applyFill="1" applyBorder="1" applyAlignment="1">
      <alignment horizontal="center" vertical="center" wrapText="1"/>
    </xf>
    <xf numFmtId="4" fontId="11" fillId="8" borderId="41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4" fontId="9" fillId="8" borderId="28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9" fillId="8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9" fillId="4" borderId="27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4" fontId="9" fillId="8" borderId="2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9" fillId="6" borderId="16" xfId="0" applyNumberFormat="1" applyFont="1" applyFill="1" applyBorder="1" applyAlignment="1">
      <alignment horizontal="center" vertical="center" wrapText="1"/>
    </xf>
    <xf numFmtId="4" fontId="9" fillId="6" borderId="30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4" fontId="9" fillId="7" borderId="13" xfId="0" applyNumberFormat="1" applyFont="1" applyFill="1" applyBorder="1" applyAlignment="1">
      <alignment horizontal="center" vertical="center" wrapText="1"/>
    </xf>
    <xf numFmtId="0" fontId="8" fillId="7" borderId="4" xfId="0" applyNumberFormat="1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center" vertical="center" wrapText="1"/>
    </xf>
    <xf numFmtId="4" fontId="9" fillId="8" borderId="3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0" fontId="9" fillId="4" borderId="17" xfId="0" applyNumberFormat="1" applyFont="1" applyFill="1" applyBorder="1" applyAlignment="1">
      <alignment horizontal="center" vertical="center" wrapText="1"/>
    </xf>
    <xf numFmtId="14" fontId="9" fillId="8" borderId="0" xfId="0" applyNumberFormat="1" applyFont="1" applyFill="1" applyAlignment="1">
      <alignment horizontal="center" vertical="center"/>
    </xf>
    <xf numFmtId="14" fontId="9" fillId="8" borderId="1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14" fontId="9" fillId="8" borderId="0" xfId="0" applyNumberFormat="1" applyFont="1" applyFill="1" applyAlignment="1">
      <alignment horizontal="center"/>
    </xf>
    <xf numFmtId="14" fontId="9" fillId="8" borderId="2" xfId="0" applyNumberFormat="1" applyFont="1" applyFill="1" applyBorder="1" applyAlignment="1">
      <alignment horizontal="center" vertical="center" wrapText="1"/>
    </xf>
    <xf numFmtId="4" fontId="9" fillId="8" borderId="32" xfId="0" applyNumberFormat="1" applyFont="1" applyFill="1" applyBorder="1" applyAlignment="1">
      <alignment horizontal="center" vertical="center"/>
    </xf>
    <xf numFmtId="4" fontId="10" fillId="2" borderId="16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4" fontId="11" fillId="8" borderId="20" xfId="0" applyNumberFormat="1" applyFont="1" applyFill="1" applyBorder="1" applyAlignment="1">
      <alignment horizontal="center" vertical="center" wrapText="1"/>
    </xf>
    <xf numFmtId="4" fontId="9" fillId="8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4" borderId="19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9" fillId="4" borderId="17" xfId="0" applyNumberFormat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9" fontId="9" fillId="0" borderId="7" xfId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9" fontId="8" fillId="0" borderId="4" xfId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9" fontId="9" fillId="8" borderId="16" xfId="1" applyFont="1" applyFill="1" applyBorder="1" applyAlignment="1">
      <alignment horizontal="center" vertical="center" wrapText="1"/>
    </xf>
    <xf numFmtId="9" fontId="9" fillId="6" borderId="1" xfId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4" fontId="10" fillId="2" borderId="33" xfId="0" applyNumberFormat="1" applyFont="1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9" fontId="9" fillId="8" borderId="4" xfId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4" fontId="10" fillId="4" borderId="17" xfId="0" applyNumberFormat="1" applyFont="1" applyFill="1" applyBorder="1" applyAlignment="1">
      <alignment horizontal="center" vertical="center" wrapText="1"/>
    </xf>
    <xf numFmtId="9" fontId="9" fillId="4" borderId="17" xfId="1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4" fontId="10" fillId="4" borderId="29" xfId="0" applyNumberFormat="1" applyFont="1" applyFill="1" applyBorder="1" applyAlignment="1">
      <alignment horizontal="center" vertical="center" wrapText="1"/>
    </xf>
    <xf numFmtId="4" fontId="9" fillId="6" borderId="11" xfId="0" applyNumberFormat="1" applyFont="1" applyFill="1" applyBorder="1" applyAlignment="1">
      <alignment horizontal="center" vertical="center" wrapText="1"/>
    </xf>
    <xf numFmtId="4" fontId="11" fillId="6" borderId="33" xfId="0" applyNumberFormat="1" applyFont="1" applyFill="1" applyBorder="1" applyAlignment="1">
      <alignment horizontal="center" vertical="center" wrapText="1"/>
    </xf>
    <xf numFmtId="14" fontId="9" fillId="6" borderId="1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8" fillId="8" borderId="4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horizontal="center" vertical="center" wrapText="1"/>
    </xf>
    <xf numFmtId="14" fontId="9" fillId="5" borderId="20" xfId="0" applyNumberFormat="1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9" fillId="5" borderId="0" xfId="0" applyNumberFormat="1" applyFont="1" applyFill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4" fontId="10" fillId="2" borderId="19" xfId="0" applyNumberFormat="1" applyFont="1" applyFill="1" applyBorder="1" applyAlignment="1">
      <alignment horizontal="center" vertical="top" wrapText="1"/>
    </xf>
    <xf numFmtId="9" fontId="9" fillId="0" borderId="19" xfId="1" applyFont="1" applyFill="1" applyBorder="1" applyAlignment="1">
      <alignment horizontal="center" vertical="top" wrapText="1"/>
    </xf>
    <xf numFmtId="4" fontId="9" fillId="0" borderId="19" xfId="0" applyNumberFormat="1" applyFont="1" applyFill="1" applyBorder="1" applyAlignment="1">
      <alignment horizontal="center" vertical="top" wrapText="1"/>
    </xf>
    <xf numFmtId="4" fontId="10" fillId="2" borderId="26" xfId="0" applyNumberFormat="1" applyFont="1" applyFill="1" applyBorder="1" applyAlignment="1">
      <alignment horizontal="center" vertical="top" wrapText="1"/>
    </xf>
    <xf numFmtId="14" fontId="9" fillId="0" borderId="19" xfId="0" applyNumberFormat="1" applyFont="1" applyFill="1" applyBorder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4" fontId="11" fillId="2" borderId="16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6" borderId="8" xfId="0" applyNumberFormat="1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6" borderId="30" xfId="0" applyNumberFormat="1" applyFont="1" applyFill="1" applyBorder="1" applyAlignment="1">
      <alignment horizontal="center" vertical="center" wrapText="1"/>
    </xf>
    <xf numFmtId="4" fontId="11" fillId="8" borderId="13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30" xfId="0" applyNumberFormat="1" applyFont="1" applyFill="1" applyBorder="1" applyAlignment="1">
      <alignment horizontal="center" vertical="center" wrapText="1"/>
    </xf>
    <xf numFmtId="4" fontId="11" fillId="8" borderId="28" xfId="0" applyNumberFormat="1" applyFont="1" applyFill="1" applyBorder="1" applyAlignment="1">
      <alignment horizontal="center" vertical="center" wrapText="1"/>
    </xf>
    <xf numFmtId="4" fontId="10" fillId="8" borderId="20" xfId="0" applyNumberFormat="1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10" fillId="2" borderId="29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" fontId="11" fillId="5" borderId="4" xfId="0" applyNumberFormat="1" applyFont="1" applyFill="1" applyBorder="1" applyAlignment="1">
      <alignment horizontal="center" vertical="center" wrapText="1"/>
    </xf>
    <xf numFmtId="4" fontId="11" fillId="5" borderId="13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1" fillId="4" borderId="19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9" xfId="0" applyNumberFormat="1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9" fontId="9" fillId="8" borderId="20" xfId="1" applyFont="1" applyFill="1" applyBorder="1" applyAlignment="1">
      <alignment horizontal="center" vertical="center" wrapText="1"/>
    </xf>
    <xf numFmtId="4" fontId="9" fillId="8" borderId="1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9" fillId="8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9" fontId="8" fillId="4" borderId="1" xfId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9" fillId="8" borderId="17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9" fontId="9" fillId="8" borderId="16" xfId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8" borderId="20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20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wrapText="1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4" fontId="9" fillId="8" borderId="1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22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7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7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10" fillId="8" borderId="16" xfId="0" applyNumberFormat="1" applyFont="1" applyFill="1" applyBorder="1" applyAlignment="1">
      <alignment horizontal="center" vertical="center" wrapText="1"/>
    </xf>
    <xf numFmtId="4" fontId="10" fillId="8" borderId="11" xfId="0" applyNumberFormat="1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4" fontId="11" fillId="8" borderId="1" xfId="0" applyNumberFormat="1" applyFont="1" applyFill="1" applyBorder="1" applyAlignment="1">
      <alignment horizontal="center" vertical="top" wrapText="1"/>
    </xf>
    <xf numFmtId="4" fontId="11" fillId="8" borderId="11" xfId="0" applyNumberFormat="1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8" borderId="16" xfId="0" applyFont="1" applyFill="1" applyBorder="1" applyAlignment="1">
      <alignment horizontal="center" vertical="center" wrapText="1"/>
    </xf>
    <xf numFmtId="14" fontId="9" fillId="8" borderId="20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20" xfId="0" applyNumberFormat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4" fontId="10" fillId="8" borderId="28" xfId="0" applyNumberFormat="1" applyFont="1" applyFill="1" applyBorder="1" applyAlignment="1">
      <alignment horizontal="center" vertical="center" wrapText="1"/>
    </xf>
    <xf numFmtId="0" fontId="9" fillId="8" borderId="20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4" fontId="9" fillId="10" borderId="2" xfId="0" applyNumberFormat="1" applyFont="1" applyFill="1" applyBorder="1" applyAlignment="1">
      <alignment horizontal="center" vertical="center" wrapText="1"/>
    </xf>
    <xf numFmtId="14" fontId="9" fillId="10" borderId="1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4" fontId="2" fillId="10" borderId="0" xfId="0" applyNumberFormat="1" applyFont="1" applyFill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wrapText="1"/>
    </xf>
    <xf numFmtId="4" fontId="9" fillId="2" borderId="11" xfId="0" applyNumberFormat="1" applyFont="1" applyFill="1" applyBorder="1" applyAlignment="1">
      <alignment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9" fontId="9" fillId="8" borderId="16" xfId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11" fillId="8" borderId="16" xfId="0" applyNumberFormat="1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1" xfId="1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10" borderId="0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4" fontId="9" fillId="8" borderId="20" xfId="0" applyNumberFormat="1" applyFont="1" applyFill="1" applyBorder="1" applyAlignment="1">
      <alignment horizontal="center" vertical="center" wrapText="1"/>
    </xf>
    <xf numFmtId="14" fontId="9" fillId="8" borderId="17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NumberFormat="1" applyFont="1" applyFill="1" applyBorder="1" applyAlignment="1">
      <alignment horizontal="center" vertical="center" wrapText="1"/>
    </xf>
    <xf numFmtId="0" fontId="9" fillId="8" borderId="27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9" fillId="8" borderId="11" xfId="0" applyNumberFormat="1" applyFont="1" applyFill="1" applyBorder="1" applyAlignment="1">
      <alignment horizontal="center" vertical="center" wrapText="1"/>
    </xf>
    <xf numFmtId="4" fontId="9" fillId="8" borderId="7" xfId="0" applyNumberFormat="1" applyFont="1" applyFill="1" applyBorder="1" applyAlignment="1">
      <alignment horizontal="center" vertical="center" wrapText="1"/>
    </xf>
    <xf numFmtId="9" fontId="9" fillId="2" borderId="11" xfId="1" applyFont="1" applyFill="1" applyBorder="1" applyAlignment="1">
      <alignment horizontal="center" vertical="center" wrapText="1"/>
    </xf>
    <xf numFmtId="9" fontId="9" fillId="2" borderId="17" xfId="1" applyFont="1" applyFill="1" applyBorder="1" applyAlignment="1">
      <alignment horizontal="center" vertical="center" wrapText="1"/>
    </xf>
    <xf numFmtId="9" fontId="9" fillId="2" borderId="16" xfId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9" fontId="9" fillId="8" borderId="11" xfId="1" applyFont="1" applyFill="1" applyBorder="1" applyAlignment="1">
      <alignment horizontal="center" vertical="center" wrapText="1"/>
    </xf>
    <xf numFmtId="9" fontId="9" fillId="8" borderId="17" xfId="1" applyFont="1" applyFill="1" applyBorder="1" applyAlignment="1">
      <alignment horizontal="center" vertical="center" wrapText="1"/>
    </xf>
    <xf numFmtId="9" fontId="9" fillId="8" borderId="16" xfId="1" applyFont="1" applyFill="1" applyBorder="1" applyAlignment="1">
      <alignment horizontal="center" vertical="center" wrapText="1"/>
    </xf>
    <xf numFmtId="4" fontId="9" fillId="8" borderId="17" xfId="0" applyNumberFormat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14" fontId="9" fillId="8" borderId="11" xfId="0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14" fontId="11" fillId="8" borderId="20" xfId="0" applyNumberFormat="1" applyFont="1" applyFill="1" applyBorder="1" applyAlignment="1">
      <alignment horizontal="center" vertical="center" wrapText="1"/>
    </xf>
    <xf numFmtId="14" fontId="11" fillId="8" borderId="16" xfId="0" applyNumberFormat="1" applyFont="1" applyFill="1" applyBorder="1" applyAlignment="1">
      <alignment horizontal="center" vertical="center" wrapText="1"/>
    </xf>
    <xf numFmtId="9" fontId="9" fillId="8" borderId="7" xfId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4" fontId="9" fillId="8" borderId="2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9" fontId="9" fillId="0" borderId="17" xfId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0" fillId="2" borderId="44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10" fillId="2" borderId="25" xfId="0" applyNumberFormat="1" applyFont="1" applyFill="1" applyBorder="1" applyAlignment="1">
      <alignment horizontal="center" vertical="center" wrapText="1"/>
    </xf>
    <xf numFmtId="9" fontId="9" fillId="3" borderId="20" xfId="1" applyFont="1" applyFill="1" applyBorder="1" applyAlignment="1">
      <alignment horizontal="center" vertical="center" wrapText="1"/>
    </xf>
    <xf numFmtId="9" fontId="9" fillId="3" borderId="17" xfId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4" fontId="9" fillId="3" borderId="20" xfId="0" applyNumberFormat="1" applyFont="1" applyFill="1" applyBorder="1" applyAlignment="1">
      <alignment horizontal="center" vertical="center" wrapText="1"/>
    </xf>
    <xf numFmtId="14" fontId="9" fillId="3" borderId="17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left" vertical="center" wrapText="1"/>
    </xf>
    <xf numFmtId="0" fontId="8" fillId="8" borderId="2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4" fontId="9" fillId="0" borderId="41" xfId="0" applyNumberFormat="1" applyFont="1" applyFill="1" applyBorder="1" applyAlignment="1">
      <alignment horizontal="center" vertical="center" wrapText="1"/>
    </xf>
    <xf numFmtId="14" fontId="9" fillId="8" borderId="27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9" fontId="9" fillId="8" borderId="27" xfId="1" applyFont="1" applyFill="1" applyBorder="1" applyAlignment="1">
      <alignment horizontal="center" vertical="center" wrapText="1"/>
    </xf>
    <xf numFmtId="4" fontId="9" fillId="8" borderId="27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" xfId="2"/>
    <cellStyle name="Обычный 2 3" xfId="6"/>
    <cellStyle name="Обычный 3" xfId="5"/>
    <cellStyle name="Процентный" xfId="1" builtinId="5"/>
    <cellStyle name="Финансовый" xfId="4" builtinId="3"/>
  </cellStyles>
  <dxfs count="0"/>
  <tableStyles count="0" defaultTableStyle="TableStyleMedium2" defaultPivotStyle="PivotStyleLight16"/>
  <colors>
    <mruColors>
      <color rgb="FFF9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rackstation\&#1060;&#1054;&#1053;&#1044;\4.%20&#1054;&#1090;&#1095;&#1077;&#1090;&#1099;%20&#1060;&#1086;&#1085;&#1076;&#1072;\&#1045;&#1078;&#1077;&#1084;&#1077;&#1089;&#1103;&#1095;&#1085;&#1099;&#1081;%20&#1086;&#1090;&#1095;&#1077;&#1090;%20&#1074;%20&#1052;&#1080;&#1085;.%20&#1046;&#1050;&#1061;\10%20&#1057;&#1077;&#1085;&#1090;&#1103;&#1073;&#1088;&#1100;%202016\05.09.2016\&#1056;&#1054;-3%20(&#1054;&#1090;&#1095;&#1077;&#1090;%20&#1046;&#1050;&#1061;%20%202016%20&#1075;&#1086;&#1076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/>
  </sheetPr>
  <dimension ref="A1:J2408"/>
  <sheetViews>
    <sheetView tabSelected="1" view="pageBreakPreview" zoomScale="60" zoomScaleNormal="70" workbookViewId="0">
      <pane ySplit="2" topLeftCell="A3" activePane="bottomLeft" state="frozen"/>
      <selection pane="bottomLeft" activeCell="O7" sqref="O7"/>
    </sheetView>
  </sheetViews>
  <sheetFormatPr defaultColWidth="9.125" defaultRowHeight="15" outlineLevelRow="1" x14ac:dyDescent="0.25"/>
  <cols>
    <col min="1" max="1" width="11.875" style="1" customWidth="1"/>
    <col min="2" max="2" width="29.625" style="1" customWidth="1"/>
    <col min="3" max="3" width="23" style="1" customWidth="1"/>
    <col min="4" max="4" width="22.875" style="7" customWidth="1"/>
    <col min="5" max="5" width="27" style="1" customWidth="1"/>
    <col min="6" max="6" width="30.125" style="1" customWidth="1"/>
    <col min="7" max="7" width="23" style="7" customWidth="1"/>
    <col min="8" max="8" width="21.125" style="1" customWidth="1"/>
    <col min="9" max="9" width="21.625" style="17" customWidth="1"/>
    <col min="10" max="10" width="21.875" style="7" customWidth="1"/>
    <col min="11" max="16384" width="9.125" style="1"/>
  </cols>
  <sheetData>
    <row r="1" spans="1:10" ht="40.5" customHeight="1" thickBot="1" x14ac:dyDescent="0.3">
      <c r="A1" s="32"/>
      <c r="B1" s="873" t="s">
        <v>1361</v>
      </c>
      <c r="C1" s="873"/>
      <c r="D1" s="873"/>
      <c r="E1" s="873"/>
      <c r="F1" s="873"/>
      <c r="G1" s="873"/>
      <c r="H1" s="873"/>
      <c r="I1" s="873"/>
      <c r="J1" s="873"/>
    </row>
    <row r="2" spans="1:10" ht="106.5" customHeight="1" thickBot="1" x14ac:dyDescent="0.3">
      <c r="A2" s="34" t="s">
        <v>0</v>
      </c>
      <c r="B2" s="35" t="s">
        <v>1</v>
      </c>
      <c r="C2" s="35" t="s">
        <v>650</v>
      </c>
      <c r="D2" s="36" t="s">
        <v>1354</v>
      </c>
      <c r="E2" s="35" t="s">
        <v>651</v>
      </c>
      <c r="F2" s="35" t="s">
        <v>848</v>
      </c>
      <c r="G2" s="37" t="s">
        <v>849</v>
      </c>
      <c r="H2" s="35" t="s">
        <v>652</v>
      </c>
      <c r="I2" s="38" t="s">
        <v>653</v>
      </c>
      <c r="J2" s="36" t="s">
        <v>760</v>
      </c>
    </row>
    <row r="3" spans="1:10" s="12" customFormat="1" ht="17.25" customHeight="1" thickBot="1" x14ac:dyDescent="0.3">
      <c r="A3" s="39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1">
        <v>7</v>
      </c>
      <c r="H3" s="40">
        <v>8</v>
      </c>
      <c r="I3" s="40">
        <v>9</v>
      </c>
      <c r="J3" s="40">
        <v>10</v>
      </c>
    </row>
    <row r="4" spans="1:10" ht="29.25" customHeight="1" thickBot="1" x14ac:dyDescent="0.3">
      <c r="A4" s="794" t="s">
        <v>654</v>
      </c>
      <c r="B4" s="795"/>
      <c r="C4" s="42"/>
      <c r="D4" s="43">
        <f>D145+D231+D241+D326+D520+D582+D612+D678+D702+D915+D1013+D1076+D1169+D1259+D1346+D1461+D1606+D1733+D1786+D2402</f>
        <v>4379575366.7421427</v>
      </c>
      <c r="E4" s="44"/>
      <c r="F4" s="44"/>
      <c r="G4" s="45">
        <f>G145+G231+G241+G326+G520+G582+G612+G678+G702+G915+G1013+G1076+G1169+G1259+G1346+G1461+G1606+G1733+G1786+G2402</f>
        <v>4347157451.267663</v>
      </c>
      <c r="H4" s="46"/>
      <c r="I4" s="47"/>
      <c r="J4" s="43">
        <f>J145+J231+J241+J326+J520+J582+J612+J678+J702+J915+J1013+J1076+J1169+J1259+J1346+J1461+J1606+J1733+J1786+J2402</f>
        <v>3629598885.6245842</v>
      </c>
    </row>
    <row r="5" spans="1:10" ht="29.25" customHeight="1" thickBot="1" x14ac:dyDescent="0.3">
      <c r="A5" s="747" t="s">
        <v>631</v>
      </c>
      <c r="B5" s="748"/>
      <c r="C5" s="748"/>
      <c r="D5" s="748"/>
      <c r="E5" s="748"/>
      <c r="F5" s="748"/>
      <c r="G5" s="748"/>
      <c r="H5" s="748"/>
      <c r="I5" s="748"/>
      <c r="J5" s="748"/>
    </row>
    <row r="6" spans="1:10" s="4" customFormat="1" ht="16.5" x14ac:dyDescent="0.25">
      <c r="A6" s="822">
        <v>1</v>
      </c>
      <c r="B6" s="826" t="s">
        <v>41</v>
      </c>
      <c r="C6" s="48" t="s">
        <v>38</v>
      </c>
      <c r="D6" s="48">
        <v>504504.28</v>
      </c>
      <c r="E6" s="754" t="s">
        <v>1068</v>
      </c>
      <c r="F6" s="754" t="s">
        <v>831</v>
      </c>
      <c r="G6" s="49">
        <v>504491.13</v>
      </c>
      <c r="H6" s="50">
        <v>42690</v>
      </c>
      <c r="I6" s="50">
        <v>42719</v>
      </c>
      <c r="J6" s="51">
        <v>443997.31</v>
      </c>
    </row>
    <row r="7" spans="1:10" ht="16.5" outlineLevel="1" x14ac:dyDescent="0.25">
      <c r="A7" s="823"/>
      <c r="B7" s="798"/>
      <c r="C7" s="53" t="s">
        <v>34</v>
      </c>
      <c r="D7" s="53">
        <v>2032896.92</v>
      </c>
      <c r="E7" s="755"/>
      <c r="F7" s="755"/>
      <c r="G7" s="54">
        <v>2032843.94</v>
      </c>
      <c r="H7" s="55">
        <v>42690</v>
      </c>
      <c r="I7" s="56"/>
      <c r="J7" s="57"/>
    </row>
    <row r="8" spans="1:10" ht="16.5" outlineLevel="1" x14ac:dyDescent="0.25">
      <c r="A8" s="823"/>
      <c r="B8" s="798"/>
      <c r="C8" s="53" t="s">
        <v>35</v>
      </c>
      <c r="D8" s="53">
        <v>207262.28</v>
      </c>
      <c r="E8" s="755"/>
      <c r="F8" s="755"/>
      <c r="G8" s="54">
        <v>207256.88</v>
      </c>
      <c r="H8" s="55">
        <v>42690</v>
      </c>
      <c r="I8" s="56"/>
      <c r="J8" s="57"/>
    </row>
    <row r="9" spans="1:10" ht="16.5" outlineLevel="1" x14ac:dyDescent="0.25">
      <c r="A9" s="823"/>
      <c r="B9" s="798"/>
      <c r="C9" s="53" t="s">
        <v>36</v>
      </c>
      <c r="D9" s="53">
        <v>197356.18</v>
      </c>
      <c r="E9" s="756"/>
      <c r="F9" s="756"/>
      <c r="G9" s="54">
        <v>197351.04000000001</v>
      </c>
      <c r="H9" s="58">
        <v>42690</v>
      </c>
      <c r="I9" s="56"/>
      <c r="J9" s="57"/>
    </row>
    <row r="10" spans="1:10" ht="49.5" outlineLevel="1" x14ac:dyDescent="0.25">
      <c r="A10" s="823"/>
      <c r="B10" s="798"/>
      <c r="C10" s="59" t="s">
        <v>37</v>
      </c>
      <c r="D10" s="59">
        <f>145367.53*1.18</f>
        <v>171533.68539999999</v>
      </c>
      <c r="E10" s="60" t="s">
        <v>549</v>
      </c>
      <c r="F10" s="60" t="s">
        <v>534</v>
      </c>
      <c r="G10" s="61">
        <v>171533.69</v>
      </c>
      <c r="H10" s="62">
        <v>42388</v>
      </c>
      <c r="I10" s="62">
        <v>42350</v>
      </c>
      <c r="J10" s="63">
        <v>171533.69</v>
      </c>
    </row>
    <row r="11" spans="1:10" s="4" customFormat="1" ht="17.25" outlineLevel="1" thickBot="1" x14ac:dyDescent="0.3">
      <c r="A11" s="818" t="s">
        <v>628</v>
      </c>
      <c r="B11" s="819"/>
      <c r="C11" s="64"/>
      <c r="D11" s="64">
        <f>SUM(D6:D10)</f>
        <v>3113553.3454</v>
      </c>
      <c r="E11" s="65"/>
      <c r="F11" s="65"/>
      <c r="G11" s="66">
        <f>SUM(G6:G10)</f>
        <v>3113476.6799999997</v>
      </c>
      <c r="H11" s="65"/>
      <c r="I11" s="67"/>
      <c r="J11" s="68">
        <f>SUM(J6:J10)</f>
        <v>615531</v>
      </c>
    </row>
    <row r="12" spans="1:10" s="4" customFormat="1" ht="33" x14ac:dyDescent="0.25">
      <c r="A12" s="822">
        <v>2</v>
      </c>
      <c r="B12" s="826" t="s">
        <v>50</v>
      </c>
      <c r="C12" s="48" t="s">
        <v>500</v>
      </c>
      <c r="D12" s="48">
        <v>4420069.47</v>
      </c>
      <c r="E12" s="70" t="s">
        <v>830</v>
      </c>
      <c r="F12" s="70" t="s">
        <v>831</v>
      </c>
      <c r="G12" s="49">
        <v>5038745.1900000004</v>
      </c>
      <c r="H12" s="50">
        <v>42581</v>
      </c>
      <c r="I12" s="50">
        <v>42646</v>
      </c>
      <c r="J12" s="51">
        <v>4420069.47</v>
      </c>
    </row>
    <row r="13" spans="1:10" ht="49.5" outlineLevel="1" x14ac:dyDescent="0.25">
      <c r="A13" s="823"/>
      <c r="B13" s="798"/>
      <c r="C13" s="59" t="s">
        <v>37</v>
      </c>
      <c r="D13" s="59">
        <f>99156.15*1.18</f>
        <v>117004.25699999998</v>
      </c>
      <c r="E13" s="60" t="s">
        <v>556</v>
      </c>
      <c r="F13" s="60" t="s">
        <v>534</v>
      </c>
      <c r="G13" s="61">
        <v>117004.26</v>
      </c>
      <c r="H13" s="62">
        <v>42429</v>
      </c>
      <c r="I13" s="62">
        <v>42429</v>
      </c>
      <c r="J13" s="63">
        <v>117004.26</v>
      </c>
    </row>
    <row r="14" spans="1:10" s="4" customFormat="1" ht="17.25" outlineLevel="1" thickBot="1" x14ac:dyDescent="0.3">
      <c r="A14" s="818" t="s">
        <v>628</v>
      </c>
      <c r="B14" s="819"/>
      <c r="C14" s="64"/>
      <c r="D14" s="64">
        <f>SUM(D12:D13)</f>
        <v>4537073.727</v>
      </c>
      <c r="E14" s="65"/>
      <c r="F14" s="65"/>
      <c r="G14" s="66">
        <f>SUM(G12:G13)</f>
        <v>5155749.45</v>
      </c>
      <c r="H14" s="65"/>
      <c r="I14" s="71"/>
      <c r="J14" s="64">
        <f>SUM(J12:J13)</f>
        <v>4537073.7299999995</v>
      </c>
    </row>
    <row r="15" spans="1:10" s="4" customFormat="1" ht="36" customHeight="1" x14ac:dyDescent="0.25">
      <c r="A15" s="822">
        <v>3</v>
      </c>
      <c r="B15" s="826" t="s">
        <v>20</v>
      </c>
      <c r="C15" s="48" t="s">
        <v>38</v>
      </c>
      <c r="D15" s="48">
        <v>752487.18</v>
      </c>
      <c r="E15" s="690" t="s">
        <v>1139</v>
      </c>
      <c r="F15" s="690" t="s">
        <v>697</v>
      </c>
      <c r="G15" s="49">
        <v>752040.29</v>
      </c>
      <c r="H15" s="72">
        <v>42729</v>
      </c>
      <c r="I15" s="50">
        <v>42719</v>
      </c>
      <c r="J15" s="51">
        <v>737294.34</v>
      </c>
    </row>
    <row r="16" spans="1:10" ht="30" customHeight="1" outlineLevel="1" x14ac:dyDescent="0.25">
      <c r="A16" s="823"/>
      <c r="B16" s="798"/>
      <c r="C16" s="73" t="s">
        <v>35</v>
      </c>
      <c r="D16" s="73">
        <v>562501.28</v>
      </c>
      <c r="E16" s="681"/>
      <c r="F16" s="681"/>
      <c r="G16" s="74">
        <v>562167.22</v>
      </c>
      <c r="H16" s="75">
        <v>42729</v>
      </c>
      <c r="I16" s="75">
        <v>42719</v>
      </c>
      <c r="J16" s="52">
        <v>551144.31000000006</v>
      </c>
    </row>
    <row r="17" spans="1:10" ht="30" customHeight="1" outlineLevel="1" x14ac:dyDescent="0.25">
      <c r="A17" s="823"/>
      <c r="B17" s="798"/>
      <c r="C17" s="73" t="s">
        <v>36</v>
      </c>
      <c r="D17" s="73">
        <v>378329.24</v>
      </c>
      <c r="E17" s="682"/>
      <c r="F17" s="682"/>
      <c r="G17" s="74">
        <v>378104.56</v>
      </c>
      <c r="H17" s="76">
        <v>42729</v>
      </c>
      <c r="I17" s="76">
        <v>42719</v>
      </c>
      <c r="J17" s="52">
        <v>359662.68</v>
      </c>
    </row>
    <row r="18" spans="1:10" ht="49.5" outlineLevel="1" x14ac:dyDescent="0.25">
      <c r="A18" s="823"/>
      <c r="B18" s="798"/>
      <c r="C18" s="59" t="s">
        <v>37</v>
      </c>
      <c r="D18" s="59">
        <f>112258.8*1.18</f>
        <v>132465.38399999999</v>
      </c>
      <c r="E18" s="60" t="s">
        <v>549</v>
      </c>
      <c r="F18" s="60" t="s">
        <v>534</v>
      </c>
      <c r="G18" s="61">
        <v>132465.38</v>
      </c>
      <c r="H18" s="62">
        <v>42388</v>
      </c>
      <c r="I18" s="62">
        <v>42350</v>
      </c>
      <c r="J18" s="63">
        <v>132465.38</v>
      </c>
    </row>
    <row r="19" spans="1:10" s="4" customFormat="1" ht="17.25" outlineLevel="1" thickBot="1" x14ac:dyDescent="0.3">
      <c r="A19" s="827" t="s">
        <v>628</v>
      </c>
      <c r="B19" s="828"/>
      <c r="C19" s="77"/>
      <c r="D19" s="77">
        <f>SUM(D15:D18)</f>
        <v>1825783.084</v>
      </c>
      <c r="E19" s="78"/>
      <c r="F19" s="78"/>
      <c r="G19" s="79">
        <f>SUM(G15:G18)</f>
        <v>1824777.4500000002</v>
      </c>
      <c r="H19" s="78"/>
      <c r="I19" s="80"/>
      <c r="J19" s="77">
        <f>SUM(J15:J18)</f>
        <v>1780566.71</v>
      </c>
    </row>
    <row r="20" spans="1:10" s="4" customFormat="1" ht="16.5" x14ac:dyDescent="0.25">
      <c r="A20" s="822">
        <v>4</v>
      </c>
      <c r="B20" s="826" t="s">
        <v>21</v>
      </c>
      <c r="C20" s="525" t="s">
        <v>38</v>
      </c>
      <c r="D20" s="51">
        <v>752559.16</v>
      </c>
      <c r="E20" s="690" t="s">
        <v>1139</v>
      </c>
      <c r="F20" s="690" t="s">
        <v>697</v>
      </c>
      <c r="G20" s="148">
        <v>752112.23</v>
      </c>
      <c r="H20" s="675">
        <v>42729</v>
      </c>
      <c r="I20" s="675">
        <v>42835</v>
      </c>
      <c r="J20" s="51">
        <v>737365.09</v>
      </c>
    </row>
    <row r="21" spans="1:10" ht="16.5" outlineLevel="1" x14ac:dyDescent="0.25">
      <c r="A21" s="823"/>
      <c r="B21" s="798"/>
      <c r="C21" s="73" t="s">
        <v>34</v>
      </c>
      <c r="D21" s="73">
        <v>4019980.34</v>
      </c>
      <c r="E21" s="681"/>
      <c r="F21" s="681"/>
      <c r="G21" s="74">
        <v>4017592.95</v>
      </c>
      <c r="H21" s="676"/>
      <c r="I21" s="678"/>
      <c r="J21" s="524">
        <v>3926187.83</v>
      </c>
    </row>
    <row r="22" spans="1:10" ht="16.5" outlineLevel="1" x14ac:dyDescent="0.25">
      <c r="A22" s="823"/>
      <c r="B22" s="798"/>
      <c r="C22" s="73" t="s">
        <v>35</v>
      </c>
      <c r="D22" s="73">
        <v>562501.28</v>
      </c>
      <c r="E22" s="681"/>
      <c r="F22" s="681"/>
      <c r="G22" s="74">
        <v>562167.22</v>
      </c>
      <c r="H22" s="676"/>
      <c r="I22" s="678"/>
      <c r="J22" s="524">
        <v>551144.31000000006</v>
      </c>
    </row>
    <row r="23" spans="1:10" ht="16.5" outlineLevel="1" x14ac:dyDescent="0.25">
      <c r="A23" s="823"/>
      <c r="B23" s="798"/>
      <c r="C23" s="73" t="s">
        <v>36</v>
      </c>
      <c r="D23" s="73">
        <v>369462.72</v>
      </c>
      <c r="E23" s="682"/>
      <c r="F23" s="682"/>
      <c r="G23" s="74">
        <v>369243.3</v>
      </c>
      <c r="H23" s="677"/>
      <c r="I23" s="679"/>
      <c r="J23" s="524">
        <v>362003.59</v>
      </c>
    </row>
    <row r="24" spans="1:10" ht="49.5" outlineLevel="1" x14ac:dyDescent="0.25">
      <c r="A24" s="823"/>
      <c r="B24" s="798"/>
      <c r="C24" s="59" t="s">
        <v>37</v>
      </c>
      <c r="D24" s="59">
        <f>147524.3*1.18</f>
        <v>174078.67399999997</v>
      </c>
      <c r="E24" s="60" t="s">
        <v>549</v>
      </c>
      <c r="F24" s="60" t="s">
        <v>534</v>
      </c>
      <c r="G24" s="86">
        <v>174078.67</v>
      </c>
      <c r="H24" s="62">
        <v>42388</v>
      </c>
      <c r="I24" s="62">
        <v>42350</v>
      </c>
      <c r="J24" s="63">
        <v>174078.67000000004</v>
      </c>
    </row>
    <row r="25" spans="1:10" s="4" customFormat="1" ht="17.25" outlineLevel="1" thickBot="1" x14ac:dyDescent="0.3">
      <c r="A25" s="818" t="s">
        <v>628</v>
      </c>
      <c r="B25" s="819"/>
      <c r="C25" s="64"/>
      <c r="D25" s="64">
        <f>SUM(D20:D24)</f>
        <v>5878582.1739999996</v>
      </c>
      <c r="E25" s="65"/>
      <c r="F25" s="65"/>
      <c r="G25" s="66">
        <f>SUM(G20:G24)</f>
        <v>5875194.3699999992</v>
      </c>
      <c r="H25" s="65"/>
      <c r="I25" s="71"/>
      <c r="J25" s="64">
        <f>SUM(J20:J24)</f>
        <v>5750779.4900000002</v>
      </c>
    </row>
    <row r="26" spans="1:10" s="4" customFormat="1" ht="33" x14ac:dyDescent="0.25">
      <c r="A26" s="822">
        <v>5</v>
      </c>
      <c r="B26" s="826" t="s">
        <v>55</v>
      </c>
      <c r="C26" s="48" t="s">
        <v>500</v>
      </c>
      <c r="D26" s="48">
        <v>6374292.1600000001</v>
      </c>
      <c r="E26" s="70" t="s">
        <v>830</v>
      </c>
      <c r="F26" s="70" t="s">
        <v>831</v>
      </c>
      <c r="G26" s="49">
        <v>7271964.3300000001</v>
      </c>
      <c r="H26" s="50">
        <v>42581</v>
      </c>
      <c r="I26" s="50">
        <v>42646</v>
      </c>
      <c r="J26" s="51">
        <v>6374292.1600000001</v>
      </c>
    </row>
    <row r="27" spans="1:10" ht="49.5" outlineLevel="1" x14ac:dyDescent="0.25">
      <c r="A27" s="823"/>
      <c r="B27" s="798"/>
      <c r="C27" s="59" t="s">
        <v>37</v>
      </c>
      <c r="D27" s="59">
        <f>105867.06*1.18</f>
        <v>124923.13079999998</v>
      </c>
      <c r="E27" s="60" t="s">
        <v>556</v>
      </c>
      <c r="F27" s="60" t="s">
        <v>534</v>
      </c>
      <c r="G27" s="86">
        <v>124923.13</v>
      </c>
      <c r="H27" s="62">
        <v>42429</v>
      </c>
      <c r="I27" s="62">
        <v>42429</v>
      </c>
      <c r="J27" s="63">
        <v>124923.13</v>
      </c>
    </row>
    <row r="28" spans="1:10" s="4" customFormat="1" ht="17.25" outlineLevel="1" thickBot="1" x14ac:dyDescent="0.3">
      <c r="A28" s="827" t="s">
        <v>628</v>
      </c>
      <c r="B28" s="828"/>
      <c r="C28" s="77"/>
      <c r="D28" s="77">
        <f>SUM(D26:D27)</f>
        <v>6499215.2908000005</v>
      </c>
      <c r="E28" s="78"/>
      <c r="F28" s="78"/>
      <c r="G28" s="79">
        <f>SUM(G26:G27)</f>
        <v>7396887.46</v>
      </c>
      <c r="H28" s="78"/>
      <c r="I28" s="80"/>
      <c r="J28" s="77">
        <f>SUM(J26:J27)</f>
        <v>6499215.29</v>
      </c>
    </row>
    <row r="29" spans="1:10" s="22" customFormat="1" ht="33" x14ac:dyDescent="0.25">
      <c r="A29" s="822">
        <v>6</v>
      </c>
      <c r="B29" s="826" t="s">
        <v>496</v>
      </c>
      <c r="C29" s="48" t="s">
        <v>500</v>
      </c>
      <c r="D29" s="48">
        <v>6600000</v>
      </c>
      <c r="E29" s="70" t="s">
        <v>1017</v>
      </c>
      <c r="F29" s="70" t="s">
        <v>697</v>
      </c>
      <c r="G29" s="49">
        <v>6600000</v>
      </c>
      <c r="H29" s="50">
        <v>42676</v>
      </c>
      <c r="I29" s="50">
        <v>42709</v>
      </c>
      <c r="J29" s="51">
        <v>6470588.5499999998</v>
      </c>
    </row>
    <row r="30" spans="1:10" ht="49.5" outlineLevel="1" x14ac:dyDescent="0.25">
      <c r="A30" s="823"/>
      <c r="B30" s="798"/>
      <c r="C30" s="59" t="s">
        <v>37</v>
      </c>
      <c r="D30" s="59">
        <f>83749.26*1.18</f>
        <v>98824.126799999984</v>
      </c>
      <c r="E30" s="60" t="s">
        <v>556</v>
      </c>
      <c r="F30" s="60" t="s">
        <v>534</v>
      </c>
      <c r="G30" s="86">
        <v>98824.13</v>
      </c>
      <c r="H30" s="62">
        <v>42429</v>
      </c>
      <c r="I30" s="62">
        <v>42429</v>
      </c>
      <c r="J30" s="63">
        <v>98824.13</v>
      </c>
    </row>
    <row r="31" spans="1:10" ht="17.25" outlineLevel="1" thickBot="1" x14ac:dyDescent="0.3">
      <c r="A31" s="818" t="s">
        <v>628</v>
      </c>
      <c r="B31" s="819"/>
      <c r="C31" s="87"/>
      <c r="D31" s="64">
        <f>SUM(D29:D30)</f>
        <v>6698824.1267999997</v>
      </c>
      <c r="E31" s="88"/>
      <c r="F31" s="88"/>
      <c r="G31" s="66">
        <f>SUM(G29:G30)</f>
        <v>6698824.1299999999</v>
      </c>
      <c r="H31" s="88"/>
      <c r="I31" s="71"/>
      <c r="J31" s="64">
        <f>SUM(J29:J30)</f>
        <v>6569412.6799999997</v>
      </c>
    </row>
    <row r="32" spans="1:10" s="4" customFormat="1" ht="30.75" customHeight="1" x14ac:dyDescent="0.25">
      <c r="A32" s="822">
        <v>7</v>
      </c>
      <c r="B32" s="826" t="s">
        <v>56</v>
      </c>
      <c r="C32" s="48" t="s">
        <v>500</v>
      </c>
      <c r="D32" s="48">
        <v>4964766.22</v>
      </c>
      <c r="E32" s="556" t="s">
        <v>1068</v>
      </c>
      <c r="F32" s="556" t="s">
        <v>831</v>
      </c>
      <c r="G32" s="49">
        <v>4964636.84</v>
      </c>
      <c r="H32" s="555">
        <v>42729</v>
      </c>
      <c r="I32" s="555">
        <v>42853</v>
      </c>
      <c r="J32" s="51">
        <v>4377306.1100000003</v>
      </c>
    </row>
    <row r="33" spans="1:10" ht="49.5" outlineLevel="1" x14ac:dyDescent="0.25">
      <c r="A33" s="823"/>
      <c r="B33" s="798"/>
      <c r="C33" s="59" t="s">
        <v>37</v>
      </c>
      <c r="D33" s="59">
        <f>101856.87*1.18</f>
        <v>120191.10659999998</v>
      </c>
      <c r="E33" s="60" t="s">
        <v>556</v>
      </c>
      <c r="F33" s="60" t="s">
        <v>534</v>
      </c>
      <c r="G33" s="86">
        <v>120191.11</v>
      </c>
      <c r="H33" s="62">
        <v>42429</v>
      </c>
      <c r="I33" s="62">
        <v>42429</v>
      </c>
      <c r="J33" s="63">
        <v>120191.11</v>
      </c>
    </row>
    <row r="34" spans="1:10" ht="17.25" outlineLevel="1" thickBot="1" x14ac:dyDescent="0.3">
      <c r="A34" s="818" t="s">
        <v>628</v>
      </c>
      <c r="B34" s="819"/>
      <c r="C34" s="87"/>
      <c r="D34" s="64">
        <f>SUM(D32:D33)</f>
        <v>5084957.3265999993</v>
      </c>
      <c r="E34" s="88"/>
      <c r="F34" s="88"/>
      <c r="G34" s="66">
        <f>SUM(G32:G33)</f>
        <v>5084827.95</v>
      </c>
      <c r="H34" s="88"/>
      <c r="I34" s="71"/>
      <c r="J34" s="64">
        <f>SUM(J32:J33)</f>
        <v>4497497.2200000007</v>
      </c>
    </row>
    <row r="35" spans="1:10" s="4" customFormat="1" ht="33" x14ac:dyDescent="0.25">
      <c r="A35" s="822">
        <v>8</v>
      </c>
      <c r="B35" s="826" t="s">
        <v>497</v>
      </c>
      <c r="C35" s="48" t="s">
        <v>500</v>
      </c>
      <c r="D35" s="48">
        <v>4077823.64</v>
      </c>
      <c r="E35" s="70" t="s">
        <v>830</v>
      </c>
      <c r="F35" s="70" t="s">
        <v>831</v>
      </c>
      <c r="G35" s="49">
        <v>4639857.32</v>
      </c>
      <c r="H35" s="50">
        <v>42581</v>
      </c>
      <c r="I35" s="50">
        <v>42653</v>
      </c>
      <c r="J35" s="51">
        <v>4077823.64</v>
      </c>
    </row>
    <row r="36" spans="1:10" ht="49.5" outlineLevel="1" x14ac:dyDescent="0.25">
      <c r="A36" s="823"/>
      <c r="B36" s="798"/>
      <c r="C36" s="59" t="s">
        <v>37</v>
      </c>
      <c r="D36" s="59">
        <f>89881.41*1.18</f>
        <v>106060.0638</v>
      </c>
      <c r="E36" s="60" t="s">
        <v>556</v>
      </c>
      <c r="F36" s="60" t="s">
        <v>534</v>
      </c>
      <c r="G36" s="86">
        <v>106060.06</v>
      </c>
      <c r="H36" s="62">
        <v>42429</v>
      </c>
      <c r="I36" s="62">
        <v>42429</v>
      </c>
      <c r="J36" s="63">
        <v>106060.06</v>
      </c>
    </row>
    <row r="37" spans="1:10" ht="17.25" outlineLevel="1" thickBot="1" x14ac:dyDescent="0.3">
      <c r="A37" s="827" t="s">
        <v>628</v>
      </c>
      <c r="B37" s="828"/>
      <c r="C37" s="89"/>
      <c r="D37" s="77">
        <f>SUM(D35:D36)</f>
        <v>4183883.7038000003</v>
      </c>
      <c r="E37" s="90"/>
      <c r="F37" s="90"/>
      <c r="G37" s="79">
        <f>SUM(G35:G36)</f>
        <v>4745917.38</v>
      </c>
      <c r="H37" s="90"/>
      <c r="I37" s="80"/>
      <c r="J37" s="77">
        <f>SUM(J35:J36)</f>
        <v>4183883.7</v>
      </c>
    </row>
    <row r="38" spans="1:10" s="4" customFormat="1" ht="33" x14ac:dyDescent="0.25">
      <c r="A38" s="822">
        <v>9</v>
      </c>
      <c r="B38" s="826" t="s">
        <v>51</v>
      </c>
      <c r="C38" s="48" t="s">
        <v>500</v>
      </c>
      <c r="D38" s="48">
        <v>2301814.33</v>
      </c>
      <c r="E38" s="70" t="s">
        <v>830</v>
      </c>
      <c r="F38" s="70" t="s">
        <v>831</v>
      </c>
      <c r="G38" s="49">
        <v>2609433.16</v>
      </c>
      <c r="H38" s="50">
        <v>42581</v>
      </c>
      <c r="I38" s="50">
        <v>42653</v>
      </c>
      <c r="J38" s="51">
        <v>2301814.33</v>
      </c>
    </row>
    <row r="39" spans="1:10" ht="49.5" outlineLevel="1" x14ac:dyDescent="0.25">
      <c r="A39" s="823"/>
      <c r="B39" s="798"/>
      <c r="C39" s="59" t="s">
        <v>37</v>
      </c>
      <c r="D39" s="59">
        <f>64005.57*1.18</f>
        <v>75526.5726</v>
      </c>
      <c r="E39" s="60" t="s">
        <v>556</v>
      </c>
      <c r="F39" s="60" t="s">
        <v>534</v>
      </c>
      <c r="G39" s="86">
        <v>75526.570000000007</v>
      </c>
      <c r="H39" s="62">
        <v>42429</v>
      </c>
      <c r="I39" s="62">
        <v>42429</v>
      </c>
      <c r="J39" s="63">
        <v>75526.570000000007</v>
      </c>
    </row>
    <row r="40" spans="1:10" ht="17.25" outlineLevel="1" thickBot="1" x14ac:dyDescent="0.3">
      <c r="A40" s="827" t="s">
        <v>628</v>
      </c>
      <c r="B40" s="828"/>
      <c r="C40" s="89"/>
      <c r="D40" s="77">
        <f>SUM(D38:D39)</f>
        <v>2377340.9026000001</v>
      </c>
      <c r="E40" s="90"/>
      <c r="F40" s="90"/>
      <c r="G40" s="79">
        <f>SUM(G38:G39)</f>
        <v>2684959.73</v>
      </c>
      <c r="H40" s="90"/>
      <c r="I40" s="80"/>
      <c r="J40" s="77">
        <f>SUM(J38:J39)</f>
        <v>2377340.9</v>
      </c>
    </row>
    <row r="41" spans="1:10" ht="30" customHeight="1" outlineLevel="1" x14ac:dyDescent="0.25">
      <c r="A41" s="822">
        <v>10</v>
      </c>
      <c r="B41" s="826" t="s">
        <v>930</v>
      </c>
      <c r="C41" s="48" t="s">
        <v>35</v>
      </c>
      <c r="D41" s="51">
        <v>282144.44</v>
      </c>
      <c r="E41" s="70" t="s">
        <v>931</v>
      </c>
      <c r="F41" s="70" t="s">
        <v>697</v>
      </c>
      <c r="G41" s="48">
        <v>414610.7</v>
      </c>
      <c r="H41" s="50">
        <v>42622</v>
      </c>
      <c r="I41" s="72">
        <v>42606</v>
      </c>
      <c r="J41" s="51">
        <v>282144.44</v>
      </c>
    </row>
    <row r="42" spans="1:10" ht="30" customHeight="1" outlineLevel="1" x14ac:dyDescent="0.25">
      <c r="A42" s="823"/>
      <c r="B42" s="798"/>
      <c r="C42" s="73" t="s">
        <v>36</v>
      </c>
      <c r="D42" s="73">
        <v>444760.42</v>
      </c>
      <c r="E42" s="91" t="s">
        <v>931</v>
      </c>
      <c r="F42" s="91" t="s">
        <v>697</v>
      </c>
      <c r="G42" s="73">
        <v>529759.81999999995</v>
      </c>
      <c r="H42" s="75">
        <v>42622</v>
      </c>
      <c r="I42" s="75">
        <v>42606</v>
      </c>
      <c r="J42" s="52">
        <v>444760.42</v>
      </c>
    </row>
    <row r="43" spans="1:10" ht="30" customHeight="1" outlineLevel="1" x14ac:dyDescent="0.25">
      <c r="A43" s="823"/>
      <c r="B43" s="798"/>
      <c r="C43" s="73" t="s">
        <v>34</v>
      </c>
      <c r="D43" s="73">
        <v>2493228.83</v>
      </c>
      <c r="E43" s="91" t="s">
        <v>931</v>
      </c>
      <c r="F43" s="91" t="s">
        <v>697</v>
      </c>
      <c r="G43" s="73">
        <v>2898094.16</v>
      </c>
      <c r="H43" s="75">
        <v>42622</v>
      </c>
      <c r="I43" s="92">
        <v>42606</v>
      </c>
      <c r="J43" s="52">
        <v>2493228.83</v>
      </c>
    </row>
    <row r="44" spans="1:10" ht="33.75" outlineLevel="1" thickBot="1" x14ac:dyDescent="0.3">
      <c r="A44" s="838"/>
      <c r="B44" s="835"/>
      <c r="C44" s="93" t="s">
        <v>38</v>
      </c>
      <c r="D44" s="94">
        <v>445738.97</v>
      </c>
      <c r="E44" s="95" t="s">
        <v>931</v>
      </c>
      <c r="F44" s="95" t="s">
        <v>697</v>
      </c>
      <c r="G44" s="96">
        <v>501197.92</v>
      </c>
      <c r="H44" s="97">
        <v>42622</v>
      </c>
      <c r="I44" s="97">
        <v>42606</v>
      </c>
      <c r="J44" s="98">
        <v>445738.97</v>
      </c>
    </row>
    <row r="45" spans="1:10" ht="15.75" customHeight="1" outlineLevel="1" thickBot="1" x14ac:dyDescent="0.3">
      <c r="A45" s="836" t="s">
        <v>628</v>
      </c>
      <c r="B45" s="837"/>
      <c r="C45" s="99"/>
      <c r="D45" s="100">
        <f>SUM(D41:D44)</f>
        <v>3665872.66</v>
      </c>
      <c r="E45" s="101"/>
      <c r="F45" s="101"/>
      <c r="G45" s="102">
        <f>SUM(G41:G44)</f>
        <v>4343662.6000000006</v>
      </c>
      <c r="H45" s="101"/>
      <c r="I45" s="103"/>
      <c r="J45" s="102">
        <f>SUM(J41:J44)</f>
        <v>3665872.66</v>
      </c>
    </row>
    <row r="46" spans="1:10" s="4" customFormat="1" ht="33" x14ac:dyDescent="0.25">
      <c r="A46" s="831">
        <v>11</v>
      </c>
      <c r="B46" s="832" t="s">
        <v>57</v>
      </c>
      <c r="C46" s="104" t="s">
        <v>500</v>
      </c>
      <c r="D46" s="104">
        <v>6312824.4800000004</v>
      </c>
      <c r="E46" s="105" t="s">
        <v>873</v>
      </c>
      <c r="F46" s="105" t="s">
        <v>872</v>
      </c>
      <c r="G46" s="106">
        <v>6312824.4800000004</v>
      </c>
      <c r="H46" s="76">
        <v>42608</v>
      </c>
      <c r="I46" s="76">
        <v>42704</v>
      </c>
      <c r="J46" s="107">
        <v>5836283.54</v>
      </c>
    </row>
    <row r="47" spans="1:10" ht="49.5" outlineLevel="1" x14ac:dyDescent="0.25">
      <c r="A47" s="823"/>
      <c r="B47" s="798"/>
      <c r="C47" s="59" t="s">
        <v>37</v>
      </c>
      <c r="D47" s="59">
        <f>105638.53*1.18</f>
        <v>124653.46539999999</v>
      </c>
      <c r="E47" s="60" t="s">
        <v>556</v>
      </c>
      <c r="F47" s="60" t="s">
        <v>534</v>
      </c>
      <c r="G47" s="86">
        <v>124653.47</v>
      </c>
      <c r="H47" s="62">
        <v>42429</v>
      </c>
      <c r="I47" s="62">
        <v>42429</v>
      </c>
      <c r="J47" s="63">
        <v>124653.47</v>
      </c>
    </row>
    <row r="48" spans="1:10" ht="17.25" outlineLevel="1" thickBot="1" x14ac:dyDescent="0.3">
      <c r="A48" s="818" t="s">
        <v>628</v>
      </c>
      <c r="B48" s="819"/>
      <c r="C48" s="87"/>
      <c r="D48" s="64">
        <f>SUM(D46:D47)</f>
        <v>6437477.9454000005</v>
      </c>
      <c r="E48" s="88"/>
      <c r="F48" s="88"/>
      <c r="G48" s="66">
        <f>SUM(G46:G47)</f>
        <v>6437477.9500000002</v>
      </c>
      <c r="H48" s="88"/>
      <c r="I48" s="71"/>
      <c r="J48" s="64">
        <f>SUM(J46:J47)</f>
        <v>5960937.0099999998</v>
      </c>
    </row>
    <row r="49" spans="1:10" s="4" customFormat="1" ht="33" x14ac:dyDescent="0.25">
      <c r="A49" s="822">
        <v>12</v>
      </c>
      <c r="B49" s="826" t="s">
        <v>498</v>
      </c>
      <c r="C49" s="48" t="s">
        <v>500</v>
      </c>
      <c r="D49" s="48">
        <v>5108642.4400000004</v>
      </c>
      <c r="E49" s="556" t="s">
        <v>1068</v>
      </c>
      <c r="F49" s="556" t="s">
        <v>831</v>
      </c>
      <c r="G49" s="49">
        <v>5108509.3099999996</v>
      </c>
      <c r="H49" s="555">
        <v>42722</v>
      </c>
      <c r="I49" s="555">
        <v>42853</v>
      </c>
      <c r="J49" s="51">
        <v>4414123.93</v>
      </c>
    </row>
    <row r="50" spans="1:10" ht="49.5" outlineLevel="1" x14ac:dyDescent="0.25">
      <c r="A50" s="823"/>
      <c r="B50" s="798"/>
      <c r="C50" s="59" t="s">
        <v>37</v>
      </c>
      <c r="D50" s="59">
        <f>90086.92*1.18</f>
        <v>106302.56559999999</v>
      </c>
      <c r="E50" s="60" t="s">
        <v>556</v>
      </c>
      <c r="F50" s="60" t="s">
        <v>534</v>
      </c>
      <c r="G50" s="86">
        <v>106302.57</v>
      </c>
      <c r="H50" s="62">
        <v>42429</v>
      </c>
      <c r="I50" s="62">
        <v>42429</v>
      </c>
      <c r="J50" s="63">
        <v>106302.57</v>
      </c>
    </row>
    <row r="51" spans="1:10" ht="17.25" outlineLevel="1" thickBot="1" x14ac:dyDescent="0.3">
      <c r="A51" s="827" t="s">
        <v>628</v>
      </c>
      <c r="B51" s="828"/>
      <c r="C51" s="89"/>
      <c r="D51" s="64">
        <f>SUM(D49:D50)</f>
        <v>5214945.0056000007</v>
      </c>
      <c r="E51" s="90"/>
      <c r="F51" s="90"/>
      <c r="G51" s="66">
        <f>SUM(G49:G50)</f>
        <v>5214811.88</v>
      </c>
      <c r="H51" s="90"/>
      <c r="I51" s="108"/>
      <c r="J51" s="64">
        <f>SUM(J49:J50)</f>
        <v>4520426.5</v>
      </c>
    </row>
    <row r="52" spans="1:10" s="4" customFormat="1" ht="33" x14ac:dyDescent="0.25">
      <c r="A52" s="822">
        <v>13</v>
      </c>
      <c r="B52" s="779" t="s">
        <v>42</v>
      </c>
      <c r="C52" s="109" t="s">
        <v>38</v>
      </c>
      <c r="D52" s="48">
        <v>687175.52</v>
      </c>
      <c r="E52" s="70" t="s">
        <v>873</v>
      </c>
      <c r="F52" s="70" t="s">
        <v>872</v>
      </c>
      <c r="G52" s="49">
        <v>687175.52</v>
      </c>
      <c r="H52" s="50">
        <v>42551</v>
      </c>
      <c r="I52" s="50">
        <v>42704</v>
      </c>
      <c r="J52" s="51">
        <v>566102.64</v>
      </c>
    </row>
    <row r="53" spans="1:10" ht="15" customHeight="1" outlineLevel="1" x14ac:dyDescent="0.25">
      <c r="A53" s="823"/>
      <c r="B53" s="780"/>
      <c r="C53" s="110" t="s">
        <v>34</v>
      </c>
      <c r="D53" s="73">
        <v>3127164.27</v>
      </c>
      <c r="E53" s="714" t="s">
        <v>798</v>
      </c>
      <c r="F53" s="714" t="s">
        <v>697</v>
      </c>
      <c r="G53" s="74">
        <v>3679125.79</v>
      </c>
      <c r="H53" s="713">
        <v>42561</v>
      </c>
      <c r="I53" s="713">
        <v>42570</v>
      </c>
      <c r="J53" s="52">
        <v>3127164.27</v>
      </c>
    </row>
    <row r="54" spans="1:10" ht="16.5" outlineLevel="1" x14ac:dyDescent="0.25">
      <c r="A54" s="823"/>
      <c r="B54" s="780"/>
      <c r="C54" s="110" t="s">
        <v>35</v>
      </c>
      <c r="D54" s="73">
        <v>301347.40999999997</v>
      </c>
      <c r="E54" s="681"/>
      <c r="F54" s="681"/>
      <c r="G54" s="74">
        <v>532095.03</v>
      </c>
      <c r="H54" s="676"/>
      <c r="I54" s="678"/>
      <c r="J54" s="52">
        <v>301347.40999999997</v>
      </c>
    </row>
    <row r="55" spans="1:10" ht="16.5" outlineLevel="1" x14ac:dyDescent="0.25">
      <c r="A55" s="823"/>
      <c r="B55" s="780"/>
      <c r="C55" s="110" t="s">
        <v>36</v>
      </c>
      <c r="D55" s="73">
        <v>338927.62</v>
      </c>
      <c r="E55" s="682"/>
      <c r="F55" s="682"/>
      <c r="G55" s="74">
        <v>376900.79</v>
      </c>
      <c r="H55" s="677"/>
      <c r="I55" s="679"/>
      <c r="J55" s="52">
        <v>338927.62</v>
      </c>
    </row>
    <row r="56" spans="1:10" ht="49.5" outlineLevel="1" x14ac:dyDescent="0.25">
      <c r="A56" s="823"/>
      <c r="B56" s="780"/>
      <c r="C56" s="59" t="s">
        <v>37</v>
      </c>
      <c r="D56" s="59">
        <f>147762.55*1.18</f>
        <v>174359.80899999998</v>
      </c>
      <c r="E56" s="60" t="s">
        <v>549</v>
      </c>
      <c r="F56" s="60" t="s">
        <v>534</v>
      </c>
      <c r="G56" s="61">
        <f>147762.55*1.18</f>
        <v>174359.80899999998</v>
      </c>
      <c r="H56" s="62">
        <v>42388</v>
      </c>
      <c r="I56" s="62">
        <v>42350</v>
      </c>
      <c r="J56" s="63">
        <v>174359.81</v>
      </c>
    </row>
    <row r="57" spans="1:10" ht="32.25" customHeight="1" outlineLevel="1" x14ac:dyDescent="0.25">
      <c r="A57" s="823"/>
      <c r="B57" s="780"/>
      <c r="C57" s="110" t="s">
        <v>500</v>
      </c>
      <c r="D57" s="73">
        <v>4075073.79</v>
      </c>
      <c r="E57" s="91" t="s">
        <v>798</v>
      </c>
      <c r="F57" s="91" t="s">
        <v>697</v>
      </c>
      <c r="G57" s="74">
        <v>4522078.3600000003</v>
      </c>
      <c r="H57" s="75">
        <v>42561</v>
      </c>
      <c r="I57" s="75">
        <v>42570</v>
      </c>
      <c r="J57" s="52">
        <v>4075073.79</v>
      </c>
    </row>
    <row r="58" spans="1:10" ht="49.5" outlineLevel="1" x14ac:dyDescent="0.25">
      <c r="A58" s="823"/>
      <c r="B58" s="780"/>
      <c r="C58" s="59" t="s">
        <v>37</v>
      </c>
      <c r="D58" s="59">
        <f>70913.77*1.18</f>
        <v>83678.248600000006</v>
      </c>
      <c r="E58" s="60" t="s">
        <v>556</v>
      </c>
      <c r="F58" s="60" t="s">
        <v>534</v>
      </c>
      <c r="G58" s="61">
        <f>70913.77*1.18</f>
        <v>83678.248600000006</v>
      </c>
      <c r="H58" s="62">
        <v>42429</v>
      </c>
      <c r="I58" s="62">
        <v>42429</v>
      </c>
      <c r="J58" s="63">
        <v>83678.25</v>
      </c>
    </row>
    <row r="59" spans="1:10" ht="17.25" outlineLevel="1" thickBot="1" x14ac:dyDescent="0.3">
      <c r="A59" s="818" t="s">
        <v>628</v>
      </c>
      <c r="B59" s="819"/>
      <c r="C59" s="111"/>
      <c r="D59" s="64">
        <f>SUM(D52:D58)</f>
        <v>8787726.6676000003</v>
      </c>
      <c r="E59" s="88"/>
      <c r="F59" s="88"/>
      <c r="G59" s="66">
        <f>SUM(G52:G58)</f>
        <v>10055413.547600003</v>
      </c>
      <c r="H59" s="88"/>
      <c r="I59" s="71"/>
      <c r="J59" s="64">
        <f>SUM(J52:J58)</f>
        <v>8666653.7899999991</v>
      </c>
    </row>
    <row r="60" spans="1:10" s="4" customFormat="1" ht="15" customHeight="1" x14ac:dyDescent="0.25">
      <c r="A60" s="822">
        <v>14</v>
      </c>
      <c r="B60" s="779" t="s">
        <v>43</v>
      </c>
      <c r="C60" s="109" t="s">
        <v>38</v>
      </c>
      <c r="D60" s="48">
        <v>660167.18000000005</v>
      </c>
      <c r="E60" s="690" t="s">
        <v>798</v>
      </c>
      <c r="F60" s="690" t="s">
        <v>697</v>
      </c>
      <c r="G60" s="49">
        <v>749717.74</v>
      </c>
      <c r="H60" s="50">
        <v>42551</v>
      </c>
      <c r="I60" s="675">
        <v>42570</v>
      </c>
      <c r="J60" s="51">
        <v>660167.18000000017</v>
      </c>
    </row>
    <row r="61" spans="1:10" ht="16.5" outlineLevel="1" x14ac:dyDescent="0.25">
      <c r="A61" s="823"/>
      <c r="B61" s="780"/>
      <c r="C61" s="110" t="s">
        <v>34</v>
      </c>
      <c r="D61" s="73">
        <v>3075585.68</v>
      </c>
      <c r="E61" s="691"/>
      <c r="F61" s="691"/>
      <c r="G61" s="74">
        <v>3679125.79</v>
      </c>
      <c r="H61" s="713">
        <v>42561</v>
      </c>
      <c r="I61" s="678"/>
      <c r="J61" s="52">
        <v>3075585.68</v>
      </c>
    </row>
    <row r="62" spans="1:10" ht="16.5" outlineLevel="1" x14ac:dyDescent="0.25">
      <c r="A62" s="823"/>
      <c r="B62" s="780"/>
      <c r="C62" s="110" t="s">
        <v>35</v>
      </c>
      <c r="D62" s="73">
        <v>292540.95</v>
      </c>
      <c r="E62" s="691"/>
      <c r="F62" s="691"/>
      <c r="G62" s="74">
        <v>532095.03</v>
      </c>
      <c r="H62" s="677"/>
      <c r="I62" s="678"/>
      <c r="J62" s="52">
        <v>292540.95</v>
      </c>
    </row>
    <row r="63" spans="1:10" ht="16.5" outlineLevel="1" x14ac:dyDescent="0.25">
      <c r="A63" s="823"/>
      <c r="B63" s="780"/>
      <c r="C63" s="110" t="s">
        <v>36</v>
      </c>
      <c r="D63" s="73">
        <v>334122.08</v>
      </c>
      <c r="E63" s="692"/>
      <c r="F63" s="692"/>
      <c r="G63" s="74">
        <v>376900.79</v>
      </c>
      <c r="H63" s="75">
        <v>42557</v>
      </c>
      <c r="I63" s="679"/>
      <c r="J63" s="52">
        <v>334122.08</v>
      </c>
    </row>
    <row r="64" spans="1:10" ht="49.5" outlineLevel="1" x14ac:dyDescent="0.25">
      <c r="A64" s="823"/>
      <c r="B64" s="780"/>
      <c r="C64" s="59" t="s">
        <v>37</v>
      </c>
      <c r="D64" s="59">
        <f>147762.55*1.18</f>
        <v>174359.80899999998</v>
      </c>
      <c r="E64" s="60" t="s">
        <v>549</v>
      </c>
      <c r="F64" s="60" t="s">
        <v>534</v>
      </c>
      <c r="G64" s="61">
        <f>147762.55*1.18</f>
        <v>174359.80899999998</v>
      </c>
      <c r="H64" s="62">
        <v>42388</v>
      </c>
      <c r="I64" s="62">
        <v>42350</v>
      </c>
      <c r="J64" s="63">
        <v>174359.80899999998</v>
      </c>
    </row>
    <row r="65" spans="1:10" ht="33" customHeight="1" outlineLevel="1" x14ac:dyDescent="0.25">
      <c r="A65" s="823"/>
      <c r="B65" s="780"/>
      <c r="C65" s="110" t="s">
        <v>500</v>
      </c>
      <c r="D65" s="73">
        <v>4083393.97</v>
      </c>
      <c r="E65" s="91" t="s">
        <v>798</v>
      </c>
      <c r="F65" s="91" t="s">
        <v>697</v>
      </c>
      <c r="G65" s="74">
        <v>4551960.68</v>
      </c>
      <c r="H65" s="75">
        <v>42561</v>
      </c>
      <c r="I65" s="75">
        <v>42570</v>
      </c>
      <c r="J65" s="52">
        <v>4083393.97</v>
      </c>
    </row>
    <row r="66" spans="1:10" ht="49.5" outlineLevel="1" x14ac:dyDescent="0.25">
      <c r="A66" s="823"/>
      <c r="B66" s="780"/>
      <c r="C66" s="59" t="s">
        <v>37</v>
      </c>
      <c r="D66" s="59">
        <v>83678.248600000006</v>
      </c>
      <c r="E66" s="60" t="s">
        <v>556</v>
      </c>
      <c r="F66" s="60" t="s">
        <v>534</v>
      </c>
      <c r="G66" s="61">
        <v>83678.248600000006</v>
      </c>
      <c r="H66" s="62">
        <v>42429</v>
      </c>
      <c r="I66" s="62">
        <v>42429</v>
      </c>
      <c r="J66" s="63">
        <v>83678.25</v>
      </c>
    </row>
    <row r="67" spans="1:10" ht="17.25" outlineLevel="1" thickBot="1" x14ac:dyDescent="0.3">
      <c r="A67" s="827" t="s">
        <v>628</v>
      </c>
      <c r="B67" s="828"/>
      <c r="C67" s="112"/>
      <c r="D67" s="77">
        <f>SUM(D60:D66)</f>
        <v>8703847.9176000021</v>
      </c>
      <c r="E67" s="90"/>
      <c r="F67" s="90"/>
      <c r="G67" s="79">
        <f>SUM(G60:G66)</f>
        <v>10147838.087600002</v>
      </c>
      <c r="H67" s="90"/>
      <c r="I67" s="80"/>
      <c r="J67" s="77">
        <f>SUM(J60:J66)</f>
        <v>8703847.9190000016</v>
      </c>
    </row>
    <row r="68" spans="1:10" s="4" customFormat="1" ht="33" x14ac:dyDescent="0.25">
      <c r="A68" s="822">
        <v>15</v>
      </c>
      <c r="B68" s="779" t="s">
        <v>47</v>
      </c>
      <c r="C68" s="109" t="s">
        <v>500</v>
      </c>
      <c r="D68" s="48">
        <v>3901373.92</v>
      </c>
      <c r="E68" s="70" t="s">
        <v>832</v>
      </c>
      <c r="F68" s="70" t="s">
        <v>831</v>
      </c>
      <c r="G68" s="49">
        <v>4455244.43</v>
      </c>
      <c r="H68" s="50">
        <v>42581</v>
      </c>
      <c r="I68" s="50">
        <v>42653</v>
      </c>
      <c r="J68" s="51">
        <v>3901373.92</v>
      </c>
    </row>
    <row r="69" spans="1:10" ht="49.5" outlineLevel="1" x14ac:dyDescent="0.25">
      <c r="A69" s="823"/>
      <c r="B69" s="780"/>
      <c r="C69" s="59" t="s">
        <v>37</v>
      </c>
      <c r="D69" s="59">
        <f>70729.49*1.18</f>
        <v>83460.798200000005</v>
      </c>
      <c r="E69" s="60" t="s">
        <v>556</v>
      </c>
      <c r="F69" s="60" t="s">
        <v>534</v>
      </c>
      <c r="G69" s="86">
        <v>83460.800000000003</v>
      </c>
      <c r="H69" s="62">
        <v>42429</v>
      </c>
      <c r="I69" s="62">
        <v>42429</v>
      </c>
      <c r="J69" s="63">
        <v>83460.800000000003</v>
      </c>
    </row>
    <row r="70" spans="1:10" s="4" customFormat="1" ht="17.25" outlineLevel="1" thickBot="1" x14ac:dyDescent="0.3">
      <c r="A70" s="818" t="s">
        <v>628</v>
      </c>
      <c r="B70" s="819"/>
      <c r="C70" s="113"/>
      <c r="D70" s="64">
        <f>SUM(D68:D69)</f>
        <v>3984834.7182</v>
      </c>
      <c r="E70" s="65"/>
      <c r="F70" s="65"/>
      <c r="G70" s="66">
        <f>SUM(G68:G69)</f>
        <v>4538705.2299999995</v>
      </c>
      <c r="H70" s="65"/>
      <c r="I70" s="71"/>
      <c r="J70" s="64">
        <f>SUM(J68:J69)</f>
        <v>3984834.7199999997</v>
      </c>
    </row>
    <row r="71" spans="1:10" s="4" customFormat="1" ht="33" x14ac:dyDescent="0.25">
      <c r="A71" s="822">
        <v>16</v>
      </c>
      <c r="B71" s="779" t="s">
        <v>48</v>
      </c>
      <c r="C71" s="109" t="s">
        <v>500</v>
      </c>
      <c r="D71" s="48">
        <v>3889443.6</v>
      </c>
      <c r="E71" s="70" t="s">
        <v>832</v>
      </c>
      <c r="F71" s="70" t="s">
        <v>831</v>
      </c>
      <c r="G71" s="49">
        <v>4432184.08</v>
      </c>
      <c r="H71" s="50">
        <v>42581</v>
      </c>
      <c r="I71" s="50">
        <v>42653</v>
      </c>
      <c r="J71" s="51">
        <v>3889443.6</v>
      </c>
    </row>
    <row r="72" spans="1:10" ht="49.5" outlineLevel="1" x14ac:dyDescent="0.25">
      <c r="A72" s="823"/>
      <c r="B72" s="780"/>
      <c r="C72" s="59" t="s">
        <v>37</v>
      </c>
      <c r="D72" s="59">
        <f>70748.83*1.18</f>
        <v>83483.619399999996</v>
      </c>
      <c r="E72" s="60" t="s">
        <v>556</v>
      </c>
      <c r="F72" s="60" t="s">
        <v>534</v>
      </c>
      <c r="G72" s="86">
        <v>83483.62</v>
      </c>
      <c r="H72" s="62">
        <v>42429</v>
      </c>
      <c r="I72" s="62">
        <v>42429</v>
      </c>
      <c r="J72" s="63">
        <v>83483.62</v>
      </c>
    </row>
    <row r="73" spans="1:10" ht="17.25" outlineLevel="1" thickBot="1" x14ac:dyDescent="0.3">
      <c r="A73" s="827" t="s">
        <v>628</v>
      </c>
      <c r="B73" s="828"/>
      <c r="C73" s="112"/>
      <c r="D73" s="77">
        <f>SUM(D71:D72)</f>
        <v>3972927.2194000003</v>
      </c>
      <c r="E73" s="90"/>
      <c r="F73" s="90"/>
      <c r="G73" s="79">
        <f>SUM(G71:G72)</f>
        <v>4515667.7</v>
      </c>
      <c r="H73" s="90"/>
      <c r="I73" s="80"/>
      <c r="J73" s="77">
        <f>SUM(J71:J72)</f>
        <v>3972927.22</v>
      </c>
    </row>
    <row r="74" spans="1:10" s="4" customFormat="1" ht="33" x14ac:dyDescent="0.25">
      <c r="A74" s="822">
        <v>17</v>
      </c>
      <c r="B74" s="779" t="s">
        <v>49</v>
      </c>
      <c r="C74" s="109" t="s">
        <v>500</v>
      </c>
      <c r="D74" s="48">
        <v>4013657.65</v>
      </c>
      <c r="E74" s="70" t="s">
        <v>832</v>
      </c>
      <c r="F74" s="70" t="s">
        <v>831</v>
      </c>
      <c r="G74" s="49">
        <v>4571571.49</v>
      </c>
      <c r="H74" s="50">
        <v>42581</v>
      </c>
      <c r="I74" s="50">
        <v>42653</v>
      </c>
      <c r="J74" s="51">
        <v>4013657.65</v>
      </c>
    </row>
    <row r="75" spans="1:10" ht="49.5" outlineLevel="1" x14ac:dyDescent="0.25">
      <c r="A75" s="823"/>
      <c r="B75" s="780"/>
      <c r="C75" s="59" t="s">
        <v>37</v>
      </c>
      <c r="D75" s="59">
        <f>70847.79*1.18</f>
        <v>83600.392199999987</v>
      </c>
      <c r="E75" s="60" t="s">
        <v>556</v>
      </c>
      <c r="F75" s="60" t="s">
        <v>534</v>
      </c>
      <c r="G75" s="86">
        <v>83600.39</v>
      </c>
      <c r="H75" s="62">
        <v>42429</v>
      </c>
      <c r="I75" s="62">
        <v>42429</v>
      </c>
      <c r="J75" s="63">
        <v>83600.389999999985</v>
      </c>
    </row>
    <row r="76" spans="1:10" ht="15" customHeight="1" outlineLevel="1" thickBot="1" x14ac:dyDescent="0.3">
      <c r="A76" s="877" t="s">
        <v>628</v>
      </c>
      <c r="B76" s="878"/>
      <c r="C76" s="111"/>
      <c r="D76" s="64">
        <f>SUM(D74:D75)</f>
        <v>4097258.0422</v>
      </c>
      <c r="E76" s="88"/>
      <c r="F76" s="88"/>
      <c r="G76" s="66">
        <f>SUM(G74:G75)</f>
        <v>4655171.88</v>
      </c>
      <c r="H76" s="88"/>
      <c r="I76" s="71"/>
      <c r="J76" s="64">
        <f>SUM(J74:J75)</f>
        <v>4097258.04</v>
      </c>
    </row>
    <row r="77" spans="1:10" s="4" customFormat="1" ht="33" x14ac:dyDescent="0.25">
      <c r="A77" s="822">
        <v>18</v>
      </c>
      <c r="B77" s="779" t="s">
        <v>52</v>
      </c>
      <c r="C77" s="109" t="s">
        <v>500</v>
      </c>
      <c r="D77" s="48">
        <v>3645005.84</v>
      </c>
      <c r="E77" s="556" t="s">
        <v>1068</v>
      </c>
      <c r="F77" s="556" t="s">
        <v>831</v>
      </c>
      <c r="G77" s="49">
        <v>3644910.86</v>
      </c>
      <c r="H77" s="555">
        <v>42722</v>
      </c>
      <c r="I77" s="555">
        <v>42853</v>
      </c>
      <c r="J77" s="51">
        <v>3202511.1</v>
      </c>
    </row>
    <row r="78" spans="1:10" ht="49.5" outlineLevel="1" x14ac:dyDescent="0.25">
      <c r="A78" s="823"/>
      <c r="B78" s="780"/>
      <c r="C78" s="59" t="s">
        <v>37</v>
      </c>
      <c r="D78" s="59">
        <f>72266.35*1.18</f>
        <v>85274.293000000005</v>
      </c>
      <c r="E78" s="60" t="s">
        <v>556</v>
      </c>
      <c r="F78" s="60" t="s">
        <v>534</v>
      </c>
      <c r="G78" s="86">
        <v>85274.29</v>
      </c>
      <c r="H78" s="62">
        <v>42429</v>
      </c>
      <c r="I78" s="62">
        <v>42429</v>
      </c>
      <c r="J78" s="63">
        <v>85274.289999999979</v>
      </c>
    </row>
    <row r="79" spans="1:10" ht="17.25" outlineLevel="1" thickBot="1" x14ac:dyDescent="0.3">
      <c r="A79" s="818" t="s">
        <v>628</v>
      </c>
      <c r="B79" s="819"/>
      <c r="C79" s="111"/>
      <c r="D79" s="64">
        <f>SUM(D77:D78)</f>
        <v>3730280.1329999999</v>
      </c>
      <c r="E79" s="88"/>
      <c r="F79" s="88"/>
      <c r="G79" s="66">
        <f>SUM(G77:G78)</f>
        <v>3730185.15</v>
      </c>
      <c r="H79" s="88"/>
      <c r="I79" s="71"/>
      <c r="J79" s="64">
        <f>SUM(J77:J78)</f>
        <v>3287785.39</v>
      </c>
    </row>
    <row r="80" spans="1:10" s="4" customFormat="1" ht="16.5" x14ac:dyDescent="0.25">
      <c r="A80" s="822">
        <v>19</v>
      </c>
      <c r="B80" s="779" t="s">
        <v>22</v>
      </c>
      <c r="C80" s="109" t="s">
        <v>38</v>
      </c>
      <c r="D80" s="48">
        <v>1531395.36</v>
      </c>
      <c r="E80" s="690" t="s">
        <v>868</v>
      </c>
      <c r="F80" s="690" t="s">
        <v>697</v>
      </c>
      <c r="G80" s="49">
        <v>1728808.22</v>
      </c>
      <c r="H80" s="114">
        <v>42582</v>
      </c>
      <c r="I80" s="675">
        <v>42584</v>
      </c>
      <c r="J80" s="51">
        <v>1531395.36</v>
      </c>
    </row>
    <row r="81" spans="1:10" ht="16.5" outlineLevel="1" x14ac:dyDescent="0.25">
      <c r="A81" s="823"/>
      <c r="B81" s="780"/>
      <c r="C81" s="110" t="s">
        <v>34</v>
      </c>
      <c r="D81" s="73">
        <v>7052356.3899999997</v>
      </c>
      <c r="E81" s="681"/>
      <c r="F81" s="681"/>
      <c r="G81" s="74">
        <v>8144921.6200000001</v>
      </c>
      <c r="H81" s="115">
        <v>42581</v>
      </c>
      <c r="I81" s="676"/>
      <c r="J81" s="52">
        <v>7052356.3899999997</v>
      </c>
    </row>
    <row r="82" spans="1:10" ht="16.5" outlineLevel="1" x14ac:dyDescent="0.25">
      <c r="A82" s="823"/>
      <c r="B82" s="780"/>
      <c r="C82" s="110" t="s">
        <v>35</v>
      </c>
      <c r="D82" s="73">
        <v>1058918.49</v>
      </c>
      <c r="E82" s="681"/>
      <c r="F82" s="681"/>
      <c r="G82" s="74">
        <v>1453961.96</v>
      </c>
      <c r="H82" s="115">
        <v>42581</v>
      </c>
      <c r="I82" s="676"/>
      <c r="J82" s="52">
        <v>1058918.49</v>
      </c>
    </row>
    <row r="83" spans="1:10" ht="16.5" outlineLevel="1" x14ac:dyDescent="0.25">
      <c r="A83" s="823"/>
      <c r="B83" s="780"/>
      <c r="C83" s="110" t="s">
        <v>36</v>
      </c>
      <c r="D83" s="73">
        <v>994909.59</v>
      </c>
      <c r="E83" s="682"/>
      <c r="F83" s="682"/>
      <c r="G83" s="74">
        <v>1086766.6100000001</v>
      </c>
      <c r="H83" s="115">
        <v>42581</v>
      </c>
      <c r="I83" s="677"/>
      <c r="J83" s="52">
        <v>994909.59</v>
      </c>
    </row>
    <row r="84" spans="1:10" ht="49.5" outlineLevel="1" x14ac:dyDescent="0.25">
      <c r="A84" s="823"/>
      <c r="B84" s="780"/>
      <c r="C84" s="116" t="s">
        <v>37</v>
      </c>
      <c r="D84" s="59">
        <f>231493.56*1.18</f>
        <v>273162.4008</v>
      </c>
      <c r="E84" s="60" t="s">
        <v>549</v>
      </c>
      <c r="F84" s="60" t="s">
        <v>534</v>
      </c>
      <c r="G84" s="86">
        <v>273162.40000000002</v>
      </c>
      <c r="H84" s="62">
        <v>42388</v>
      </c>
      <c r="I84" s="62">
        <v>42350</v>
      </c>
      <c r="J84" s="63">
        <v>273162.40000000002</v>
      </c>
    </row>
    <row r="85" spans="1:10" ht="17.25" outlineLevel="1" thickBot="1" x14ac:dyDescent="0.3">
      <c r="A85" s="827" t="s">
        <v>628</v>
      </c>
      <c r="B85" s="828"/>
      <c r="C85" s="112"/>
      <c r="D85" s="77">
        <f>SUM(D80:D84)</f>
        <v>10910742.230800001</v>
      </c>
      <c r="E85" s="90"/>
      <c r="F85" s="90"/>
      <c r="G85" s="79">
        <f>SUM(G80:G84)</f>
        <v>12687620.810000001</v>
      </c>
      <c r="H85" s="90"/>
      <c r="I85" s="80"/>
      <c r="J85" s="77">
        <f>SUM(J80:J84)</f>
        <v>10910742.23</v>
      </c>
    </row>
    <row r="86" spans="1:10" s="4" customFormat="1" ht="16.5" x14ac:dyDescent="0.25">
      <c r="A86" s="822">
        <v>20</v>
      </c>
      <c r="B86" s="779" t="s">
        <v>884</v>
      </c>
      <c r="C86" s="109" t="s">
        <v>38</v>
      </c>
      <c r="D86" s="48">
        <v>909475.61</v>
      </c>
      <c r="E86" s="690" t="s">
        <v>868</v>
      </c>
      <c r="F86" s="690" t="s">
        <v>697</v>
      </c>
      <c r="G86" s="49">
        <v>1034223.4</v>
      </c>
      <c r="H86" s="114">
        <v>42582</v>
      </c>
      <c r="I86" s="675">
        <v>42584</v>
      </c>
      <c r="J86" s="51">
        <v>909475.61</v>
      </c>
    </row>
    <row r="87" spans="1:10" ht="16.5" outlineLevel="1" x14ac:dyDescent="0.25">
      <c r="A87" s="823"/>
      <c r="B87" s="780"/>
      <c r="C87" s="110" t="s">
        <v>34</v>
      </c>
      <c r="D87" s="73">
        <v>4112612.45</v>
      </c>
      <c r="E87" s="681"/>
      <c r="F87" s="681"/>
      <c r="G87" s="74">
        <v>4875670.12</v>
      </c>
      <c r="H87" s="115">
        <v>42581</v>
      </c>
      <c r="I87" s="676"/>
      <c r="J87" s="52">
        <v>4112612.45</v>
      </c>
    </row>
    <row r="88" spans="1:10" ht="16.5" outlineLevel="1" x14ac:dyDescent="0.25">
      <c r="A88" s="823"/>
      <c r="B88" s="780"/>
      <c r="C88" s="110" t="s">
        <v>35</v>
      </c>
      <c r="D88" s="73">
        <v>628199.01</v>
      </c>
      <c r="E88" s="681"/>
      <c r="F88" s="681"/>
      <c r="G88" s="74">
        <v>945852.72</v>
      </c>
      <c r="H88" s="115">
        <v>42578</v>
      </c>
      <c r="I88" s="676"/>
      <c r="J88" s="52">
        <v>628199.01</v>
      </c>
    </row>
    <row r="89" spans="1:10" ht="16.5" outlineLevel="1" x14ac:dyDescent="0.25">
      <c r="A89" s="823"/>
      <c r="B89" s="780"/>
      <c r="C89" s="110" t="s">
        <v>36</v>
      </c>
      <c r="D89" s="73">
        <v>434342.77</v>
      </c>
      <c r="E89" s="682"/>
      <c r="F89" s="682"/>
      <c r="G89" s="74">
        <v>479795.35</v>
      </c>
      <c r="H89" s="115">
        <v>42581</v>
      </c>
      <c r="I89" s="677"/>
      <c r="J89" s="52">
        <v>434342.77</v>
      </c>
    </row>
    <row r="90" spans="1:10" ht="16.5" outlineLevel="1" x14ac:dyDescent="0.25">
      <c r="A90" s="823"/>
      <c r="B90" s="780"/>
      <c r="C90" s="117"/>
      <c r="D90" s="77"/>
      <c r="E90" s="117"/>
      <c r="F90" s="117"/>
      <c r="G90" s="118"/>
      <c r="H90" s="119"/>
      <c r="I90" s="120"/>
      <c r="J90" s="121"/>
    </row>
    <row r="91" spans="1:10" ht="15.75" customHeight="1" outlineLevel="1" thickBot="1" x14ac:dyDescent="0.3">
      <c r="A91" s="818" t="s">
        <v>628</v>
      </c>
      <c r="B91" s="819"/>
      <c r="C91" s="112"/>
      <c r="D91" s="77">
        <f>SUM(D86:D90)</f>
        <v>6084629.8399999999</v>
      </c>
      <c r="E91" s="90"/>
      <c r="F91" s="90"/>
      <c r="G91" s="122">
        <f>G86+G87+G88+G89</f>
        <v>7335541.5899999999</v>
      </c>
      <c r="H91" s="123"/>
      <c r="I91" s="124"/>
      <c r="J91" s="77">
        <f>SUM(J86:J90)</f>
        <v>6084629.8399999999</v>
      </c>
    </row>
    <row r="92" spans="1:10" ht="16.5" outlineLevel="1" x14ac:dyDescent="0.25">
      <c r="A92" s="833">
        <v>21</v>
      </c>
      <c r="B92" s="779" t="s">
        <v>23</v>
      </c>
      <c r="C92" s="109" t="s">
        <v>38</v>
      </c>
      <c r="D92" s="48">
        <v>1057376.76</v>
      </c>
      <c r="E92" s="690" t="s">
        <v>1139</v>
      </c>
      <c r="F92" s="690" t="s">
        <v>697</v>
      </c>
      <c r="G92" s="126">
        <v>1056748.8</v>
      </c>
      <c r="H92" s="72">
        <v>42729</v>
      </c>
      <c r="I92" s="675">
        <v>42710</v>
      </c>
      <c r="J92" s="51">
        <v>1036026.16</v>
      </c>
    </row>
    <row r="93" spans="1:10" ht="16.5" outlineLevel="1" x14ac:dyDescent="0.25">
      <c r="A93" s="834"/>
      <c r="B93" s="780"/>
      <c r="C93" s="110" t="s">
        <v>34</v>
      </c>
      <c r="D93" s="127">
        <v>4984822.68</v>
      </c>
      <c r="E93" s="681"/>
      <c r="F93" s="681"/>
      <c r="G93" s="128">
        <v>4981862.29</v>
      </c>
      <c r="H93" s="75">
        <v>42729</v>
      </c>
      <c r="I93" s="676"/>
      <c r="J93" s="129">
        <v>4875402.22</v>
      </c>
    </row>
    <row r="94" spans="1:10" ht="16.5" outlineLevel="1" x14ac:dyDescent="0.25">
      <c r="A94" s="834"/>
      <c r="B94" s="780"/>
      <c r="C94" s="110" t="s">
        <v>35</v>
      </c>
      <c r="D94" s="127">
        <v>967027.7</v>
      </c>
      <c r="E94" s="681"/>
      <c r="F94" s="681"/>
      <c r="G94" s="128">
        <v>966453.4</v>
      </c>
      <c r="H94" s="75">
        <v>42729</v>
      </c>
      <c r="I94" s="676"/>
      <c r="J94" s="129">
        <v>947503.24</v>
      </c>
    </row>
    <row r="95" spans="1:10" ht="16.5" outlineLevel="1" x14ac:dyDescent="0.25">
      <c r="A95" s="834"/>
      <c r="B95" s="780"/>
      <c r="C95" s="110" t="s">
        <v>36</v>
      </c>
      <c r="D95" s="127">
        <v>490536.62</v>
      </c>
      <c r="E95" s="682"/>
      <c r="F95" s="682"/>
      <c r="G95" s="128">
        <v>490245.3</v>
      </c>
      <c r="H95" s="76">
        <v>42729</v>
      </c>
      <c r="I95" s="677"/>
      <c r="J95" s="129">
        <v>480632.83</v>
      </c>
    </row>
    <row r="96" spans="1:10" ht="49.5" outlineLevel="1" x14ac:dyDescent="0.25">
      <c r="A96" s="831"/>
      <c r="B96" s="780"/>
      <c r="C96" s="116" t="s">
        <v>37</v>
      </c>
      <c r="D96" s="59">
        <f>166807.53*1.18</f>
        <v>196832.8854</v>
      </c>
      <c r="E96" s="60" t="s">
        <v>549</v>
      </c>
      <c r="F96" s="60" t="s">
        <v>534</v>
      </c>
      <c r="G96" s="86">
        <v>196832.89</v>
      </c>
      <c r="H96" s="62">
        <v>42388</v>
      </c>
      <c r="I96" s="62">
        <v>42350</v>
      </c>
      <c r="J96" s="63">
        <v>196832.89</v>
      </c>
    </row>
    <row r="97" spans="1:10" ht="17.25" outlineLevel="1" thickBot="1" x14ac:dyDescent="0.3">
      <c r="A97" s="818" t="s">
        <v>628</v>
      </c>
      <c r="B97" s="819"/>
      <c r="C97" s="111"/>
      <c r="D97" s="64">
        <f>SUM(D92:D96)</f>
        <v>7696596.6453999998</v>
      </c>
      <c r="E97" s="88"/>
      <c r="F97" s="88"/>
      <c r="G97" s="66">
        <f>SUM(G92:G96)</f>
        <v>7692142.6799999997</v>
      </c>
      <c r="H97" s="88"/>
      <c r="I97" s="71"/>
      <c r="J97" s="64">
        <f>SUM(J92:J96)</f>
        <v>7536397.3399999999</v>
      </c>
    </row>
    <row r="98" spans="1:10" s="4" customFormat="1" ht="33" x14ac:dyDescent="0.25">
      <c r="A98" s="822">
        <v>22</v>
      </c>
      <c r="B98" s="779" t="s">
        <v>53</v>
      </c>
      <c r="C98" s="109" t="s">
        <v>500</v>
      </c>
      <c r="D98" s="48">
        <v>2381852.42</v>
      </c>
      <c r="E98" s="450" t="s">
        <v>1139</v>
      </c>
      <c r="F98" s="450" t="s">
        <v>697</v>
      </c>
      <c r="G98" s="49">
        <v>2380437.88</v>
      </c>
      <c r="H98" s="449">
        <v>42724</v>
      </c>
      <c r="I98" s="449">
        <v>42769</v>
      </c>
      <c r="J98" s="51">
        <v>2327357.62</v>
      </c>
    </row>
    <row r="99" spans="1:10" ht="49.5" outlineLevel="1" x14ac:dyDescent="0.25">
      <c r="A99" s="823"/>
      <c r="B99" s="780"/>
      <c r="C99" s="116" t="s">
        <v>37</v>
      </c>
      <c r="D99" s="59">
        <f>65267.91*1.18</f>
        <v>77016.133799999996</v>
      </c>
      <c r="E99" s="60" t="s">
        <v>556</v>
      </c>
      <c r="F99" s="60" t="s">
        <v>534</v>
      </c>
      <c r="G99" s="86">
        <v>77016.13</v>
      </c>
      <c r="H99" s="62">
        <v>42429</v>
      </c>
      <c r="I99" s="62">
        <v>42429</v>
      </c>
      <c r="J99" s="63">
        <v>77016.13</v>
      </c>
    </row>
    <row r="100" spans="1:10" ht="17.25" outlineLevel="1" thickBot="1" x14ac:dyDescent="0.3">
      <c r="A100" s="818" t="s">
        <v>628</v>
      </c>
      <c r="B100" s="819"/>
      <c r="C100" s="111"/>
      <c r="D100" s="64">
        <f>SUM(D98:D99)</f>
        <v>2458868.5537999999</v>
      </c>
      <c r="E100" s="88"/>
      <c r="F100" s="88"/>
      <c r="G100" s="66">
        <f>SUM(G98:G99)</f>
        <v>2457454.0099999998</v>
      </c>
      <c r="H100" s="88"/>
      <c r="I100" s="71"/>
      <c r="J100" s="64">
        <f>SUM(J98:J99)</f>
        <v>2404373.75</v>
      </c>
    </row>
    <row r="101" spans="1:10" s="4" customFormat="1" ht="33" x14ac:dyDescent="0.25">
      <c r="A101" s="822">
        <v>23</v>
      </c>
      <c r="B101" s="779" t="s">
        <v>54</v>
      </c>
      <c r="C101" s="109" t="s">
        <v>500</v>
      </c>
      <c r="D101" s="48">
        <v>3930630.92</v>
      </c>
      <c r="E101" s="450" t="s">
        <v>1139</v>
      </c>
      <c r="F101" s="450" t="s">
        <v>697</v>
      </c>
      <c r="G101" s="49">
        <v>3928356.56</v>
      </c>
      <c r="H101" s="449">
        <v>42724</v>
      </c>
      <c r="I101" s="449">
        <v>42769</v>
      </c>
      <c r="J101" s="51">
        <v>3738244.08</v>
      </c>
    </row>
    <row r="102" spans="1:10" ht="49.5" outlineLevel="1" x14ac:dyDescent="0.25">
      <c r="A102" s="823"/>
      <c r="B102" s="780"/>
      <c r="C102" s="116" t="s">
        <v>37</v>
      </c>
      <c r="D102" s="59">
        <f>78817.13*1.18</f>
        <v>93004.213400000008</v>
      </c>
      <c r="E102" s="60" t="s">
        <v>556</v>
      </c>
      <c r="F102" s="60" t="s">
        <v>534</v>
      </c>
      <c r="G102" s="86">
        <v>93004.21</v>
      </c>
      <c r="H102" s="62">
        <v>42429</v>
      </c>
      <c r="I102" s="62">
        <v>42429</v>
      </c>
      <c r="J102" s="63">
        <v>93004.21</v>
      </c>
    </row>
    <row r="103" spans="1:10" ht="17.25" outlineLevel="1" thickBot="1" x14ac:dyDescent="0.3">
      <c r="A103" s="827" t="s">
        <v>628</v>
      </c>
      <c r="B103" s="828"/>
      <c r="C103" s="112"/>
      <c r="D103" s="64">
        <f>SUM(D101:D102)</f>
        <v>4023635.1333999997</v>
      </c>
      <c r="E103" s="90"/>
      <c r="F103" s="90"/>
      <c r="G103" s="66">
        <f>SUM(G101:G102)</f>
        <v>4021360.77</v>
      </c>
      <c r="H103" s="90"/>
      <c r="I103" s="108"/>
      <c r="J103" s="64">
        <f>SUM(J101:J102)</f>
        <v>3831248.29</v>
      </c>
    </row>
    <row r="104" spans="1:10" s="4" customFormat="1" ht="16.5" x14ac:dyDescent="0.25">
      <c r="A104" s="822">
        <v>24</v>
      </c>
      <c r="B104" s="779" t="s">
        <v>44</v>
      </c>
      <c r="C104" s="109" t="s">
        <v>38</v>
      </c>
      <c r="D104" s="48">
        <v>715635.78</v>
      </c>
      <c r="E104" s="690" t="s">
        <v>1139</v>
      </c>
      <c r="F104" s="690" t="s">
        <v>697</v>
      </c>
      <c r="G104" s="49">
        <v>715210.78</v>
      </c>
      <c r="H104" s="72">
        <v>42729</v>
      </c>
      <c r="I104" s="50">
        <v>42710</v>
      </c>
      <c r="J104" s="51">
        <v>701186.55</v>
      </c>
    </row>
    <row r="105" spans="1:10" ht="16.5" outlineLevel="1" x14ac:dyDescent="0.25">
      <c r="A105" s="823"/>
      <c r="B105" s="780"/>
      <c r="C105" s="110" t="s">
        <v>34</v>
      </c>
      <c r="D105" s="73">
        <v>3379691.1</v>
      </c>
      <c r="E105" s="681"/>
      <c r="F105" s="681"/>
      <c r="G105" s="74">
        <v>3379691.1</v>
      </c>
      <c r="H105" s="75">
        <v>42729</v>
      </c>
      <c r="I105" s="75">
        <v>42710</v>
      </c>
      <c r="J105" s="52">
        <v>3293248.5</v>
      </c>
    </row>
    <row r="106" spans="1:10" ht="16.5" outlineLevel="1" x14ac:dyDescent="0.25">
      <c r="A106" s="823"/>
      <c r="B106" s="780"/>
      <c r="C106" s="110" t="s">
        <v>35</v>
      </c>
      <c r="D106" s="73">
        <v>635253</v>
      </c>
      <c r="E106" s="681"/>
      <c r="F106" s="681"/>
      <c r="G106" s="74">
        <v>634875.73</v>
      </c>
      <c r="H106" s="75">
        <v>42729</v>
      </c>
      <c r="I106" s="75">
        <v>42710</v>
      </c>
      <c r="J106" s="52">
        <v>582210.6</v>
      </c>
    </row>
    <row r="107" spans="1:10" ht="16.5" outlineLevel="1" x14ac:dyDescent="0.25">
      <c r="A107" s="823"/>
      <c r="B107" s="780"/>
      <c r="C107" s="110" t="s">
        <v>36</v>
      </c>
      <c r="D107" s="73">
        <v>403748.8</v>
      </c>
      <c r="E107" s="682"/>
      <c r="F107" s="682"/>
      <c r="G107" s="74">
        <v>403509.72</v>
      </c>
      <c r="H107" s="76">
        <v>42729</v>
      </c>
      <c r="I107" s="76">
        <v>42710</v>
      </c>
      <c r="J107" s="52">
        <v>372847.24</v>
      </c>
    </row>
    <row r="108" spans="1:10" ht="49.5" outlineLevel="1" x14ac:dyDescent="0.25">
      <c r="A108" s="823"/>
      <c r="B108" s="780"/>
      <c r="C108" s="116" t="s">
        <v>37</v>
      </c>
      <c r="D108" s="59">
        <f>146246.29*1.18</f>
        <v>172570.62220000001</v>
      </c>
      <c r="E108" s="60" t="s">
        <v>549</v>
      </c>
      <c r="F108" s="60" t="s">
        <v>534</v>
      </c>
      <c r="G108" s="86">
        <v>172570.62</v>
      </c>
      <c r="H108" s="62">
        <v>42388</v>
      </c>
      <c r="I108" s="62">
        <v>42350</v>
      </c>
      <c r="J108" s="63">
        <v>172570.62</v>
      </c>
    </row>
    <row r="109" spans="1:10" ht="17.25" outlineLevel="1" thickBot="1" x14ac:dyDescent="0.3">
      <c r="A109" s="818" t="s">
        <v>628</v>
      </c>
      <c r="B109" s="819"/>
      <c r="C109" s="111"/>
      <c r="D109" s="64">
        <f>SUM(D104:D108)</f>
        <v>5306899.3021999998</v>
      </c>
      <c r="E109" s="88"/>
      <c r="F109" s="88"/>
      <c r="G109" s="66">
        <f>SUM(G104:G108)</f>
        <v>5305857.9499999993</v>
      </c>
      <c r="H109" s="88"/>
      <c r="I109" s="130"/>
      <c r="J109" s="64">
        <f>SUM(J104:J108)</f>
        <v>5122063.51</v>
      </c>
    </row>
    <row r="110" spans="1:10" s="4" customFormat="1" ht="16.5" x14ac:dyDescent="0.25">
      <c r="A110" s="822">
        <v>25</v>
      </c>
      <c r="B110" s="779" t="s">
        <v>24</v>
      </c>
      <c r="C110" s="109" t="s">
        <v>38</v>
      </c>
      <c r="D110" s="48">
        <v>715635.78</v>
      </c>
      <c r="E110" s="690" t="s">
        <v>1139</v>
      </c>
      <c r="F110" s="690" t="s">
        <v>697</v>
      </c>
      <c r="G110" s="49">
        <v>715210.78</v>
      </c>
      <c r="H110" s="50">
        <v>42729</v>
      </c>
      <c r="I110" s="50">
        <v>42710</v>
      </c>
      <c r="J110" s="51">
        <v>701186.55</v>
      </c>
    </row>
    <row r="111" spans="1:10" ht="16.5" outlineLevel="1" x14ac:dyDescent="0.25">
      <c r="A111" s="823"/>
      <c r="B111" s="780"/>
      <c r="C111" s="110" t="s">
        <v>34</v>
      </c>
      <c r="D111" s="73">
        <v>3379691.1</v>
      </c>
      <c r="E111" s="681"/>
      <c r="F111" s="681"/>
      <c r="G111" s="74">
        <v>3377683.96</v>
      </c>
      <c r="H111" s="75">
        <v>42729</v>
      </c>
      <c r="I111" s="75">
        <v>42710</v>
      </c>
      <c r="J111" s="52">
        <v>3155479.23</v>
      </c>
    </row>
    <row r="112" spans="1:10" ht="16.5" outlineLevel="1" x14ac:dyDescent="0.25">
      <c r="A112" s="823"/>
      <c r="B112" s="780"/>
      <c r="C112" s="110" t="s">
        <v>35</v>
      </c>
      <c r="D112" s="73">
        <v>635253</v>
      </c>
      <c r="E112" s="681"/>
      <c r="F112" s="681"/>
      <c r="G112" s="74">
        <v>634875.73</v>
      </c>
      <c r="H112" s="75">
        <v>42729</v>
      </c>
      <c r="I112" s="75">
        <v>42710</v>
      </c>
      <c r="J112" s="52">
        <v>609018.43000000005</v>
      </c>
    </row>
    <row r="113" spans="1:10" ht="16.5" outlineLevel="1" x14ac:dyDescent="0.25">
      <c r="A113" s="823"/>
      <c r="B113" s="780"/>
      <c r="C113" s="110" t="s">
        <v>36</v>
      </c>
      <c r="D113" s="73">
        <v>403748.8</v>
      </c>
      <c r="E113" s="682"/>
      <c r="F113" s="682"/>
      <c r="G113" s="74">
        <v>403508.32</v>
      </c>
      <c r="H113" s="75">
        <v>42729</v>
      </c>
      <c r="I113" s="76">
        <v>42710</v>
      </c>
      <c r="J113" s="52">
        <v>383769.91</v>
      </c>
    </row>
    <row r="114" spans="1:10" ht="49.5" outlineLevel="1" x14ac:dyDescent="0.25">
      <c r="A114" s="823"/>
      <c r="B114" s="780"/>
      <c r="C114" s="116" t="s">
        <v>37</v>
      </c>
      <c r="D114" s="59">
        <f>144999.69*1.18</f>
        <v>171099.6342</v>
      </c>
      <c r="E114" s="60" t="s">
        <v>549</v>
      </c>
      <c r="F114" s="60" t="s">
        <v>534</v>
      </c>
      <c r="G114" s="86">
        <v>171099.63</v>
      </c>
      <c r="H114" s="62">
        <v>42388</v>
      </c>
      <c r="I114" s="62">
        <v>42350</v>
      </c>
      <c r="J114" s="63">
        <v>171099.63</v>
      </c>
    </row>
    <row r="115" spans="1:10" ht="17.25" outlineLevel="1" thickBot="1" x14ac:dyDescent="0.3">
      <c r="A115" s="818" t="s">
        <v>628</v>
      </c>
      <c r="B115" s="819"/>
      <c r="C115" s="111"/>
      <c r="D115" s="64">
        <f>SUM(D110:D114)</f>
        <v>5305428.3141999999</v>
      </c>
      <c r="E115" s="88"/>
      <c r="F115" s="88"/>
      <c r="G115" s="66">
        <f>SUM(G110:G114)</f>
        <v>5302378.4200000009</v>
      </c>
      <c r="H115" s="88"/>
      <c r="I115" s="130"/>
      <c r="J115" s="64">
        <f>SUM(J110:J114)</f>
        <v>5020553.75</v>
      </c>
    </row>
    <row r="116" spans="1:10" s="4" customFormat="1" ht="16.5" x14ac:dyDescent="0.25">
      <c r="A116" s="822">
        <v>26</v>
      </c>
      <c r="B116" s="779" t="s">
        <v>45</v>
      </c>
      <c r="C116" s="109" t="s">
        <v>38</v>
      </c>
      <c r="D116" s="48">
        <v>715635.78</v>
      </c>
      <c r="E116" s="690" t="s">
        <v>1139</v>
      </c>
      <c r="F116" s="690" t="s">
        <v>697</v>
      </c>
      <c r="G116" s="49">
        <v>715210.78</v>
      </c>
      <c r="H116" s="50">
        <v>42729</v>
      </c>
      <c r="I116" s="50">
        <v>42710</v>
      </c>
      <c r="J116" s="51">
        <v>701186.55</v>
      </c>
    </row>
    <row r="117" spans="1:10" ht="16.5" outlineLevel="1" x14ac:dyDescent="0.25">
      <c r="A117" s="823"/>
      <c r="B117" s="780"/>
      <c r="C117" s="110" t="s">
        <v>34</v>
      </c>
      <c r="D117" s="73">
        <v>3379691.1</v>
      </c>
      <c r="E117" s="681"/>
      <c r="F117" s="681"/>
      <c r="G117" s="74">
        <v>3377683.96</v>
      </c>
      <c r="H117" s="75">
        <v>42729</v>
      </c>
      <c r="I117" s="75">
        <v>42710</v>
      </c>
      <c r="J117" s="52">
        <v>3296567.05</v>
      </c>
    </row>
    <row r="118" spans="1:10" ht="16.5" outlineLevel="1" x14ac:dyDescent="0.25">
      <c r="A118" s="823"/>
      <c r="B118" s="780"/>
      <c r="C118" s="110" t="s">
        <v>35</v>
      </c>
      <c r="D118" s="73">
        <v>635253</v>
      </c>
      <c r="E118" s="681"/>
      <c r="F118" s="681"/>
      <c r="G118" s="74">
        <v>634875.73</v>
      </c>
      <c r="H118" s="75">
        <v>42729</v>
      </c>
      <c r="I118" s="75">
        <v>42710</v>
      </c>
      <c r="J118" s="52">
        <v>611650.62</v>
      </c>
    </row>
    <row r="119" spans="1:10" ht="16.5" outlineLevel="1" x14ac:dyDescent="0.25">
      <c r="A119" s="823"/>
      <c r="B119" s="780"/>
      <c r="C119" s="110" t="s">
        <v>36</v>
      </c>
      <c r="D119" s="73">
        <v>403748.8</v>
      </c>
      <c r="E119" s="682"/>
      <c r="F119" s="682"/>
      <c r="G119" s="74">
        <v>403509.02</v>
      </c>
      <c r="H119" s="75">
        <v>42729</v>
      </c>
      <c r="I119" s="76">
        <v>42710</v>
      </c>
      <c r="J119" s="52">
        <v>384675.8</v>
      </c>
    </row>
    <row r="120" spans="1:10" ht="49.5" outlineLevel="1" x14ac:dyDescent="0.25">
      <c r="A120" s="823"/>
      <c r="B120" s="780"/>
      <c r="C120" s="116" t="s">
        <v>37</v>
      </c>
      <c r="D120" s="59">
        <f>144789.76*1.18</f>
        <v>170851.91680000001</v>
      </c>
      <c r="E120" s="60" t="s">
        <v>549</v>
      </c>
      <c r="F120" s="60" t="s">
        <v>534</v>
      </c>
      <c r="G120" s="86">
        <v>170851.92</v>
      </c>
      <c r="H120" s="62">
        <v>42388</v>
      </c>
      <c r="I120" s="62">
        <v>42350</v>
      </c>
      <c r="J120" s="63">
        <v>170851.92</v>
      </c>
    </row>
    <row r="121" spans="1:10" ht="17.25" outlineLevel="1" thickBot="1" x14ac:dyDescent="0.3">
      <c r="A121" s="827" t="s">
        <v>628</v>
      </c>
      <c r="B121" s="828"/>
      <c r="C121" s="112"/>
      <c r="D121" s="64">
        <f>SUM(D116:D120)</f>
        <v>5305180.5967999995</v>
      </c>
      <c r="E121" s="90"/>
      <c r="F121" s="90"/>
      <c r="G121" s="66">
        <f>SUM(G116:G120)</f>
        <v>5302131.41</v>
      </c>
      <c r="H121" s="90"/>
      <c r="I121" s="108"/>
      <c r="J121" s="64">
        <f>SUM(J116:J120)</f>
        <v>5164931.9399999995</v>
      </c>
    </row>
    <row r="122" spans="1:10" s="4" customFormat="1" ht="16.5" x14ac:dyDescent="0.25">
      <c r="A122" s="822">
        <v>27</v>
      </c>
      <c r="B122" s="779" t="s">
        <v>46</v>
      </c>
      <c r="C122" s="109" t="s">
        <v>38</v>
      </c>
      <c r="D122" s="48">
        <v>430053.36</v>
      </c>
      <c r="E122" s="690" t="s">
        <v>1139</v>
      </c>
      <c r="F122" s="690" t="s">
        <v>697</v>
      </c>
      <c r="G122" s="49">
        <v>429797.96</v>
      </c>
      <c r="H122" s="50">
        <v>42729</v>
      </c>
      <c r="I122" s="675">
        <v>42710</v>
      </c>
      <c r="J122" s="51">
        <v>421370.68</v>
      </c>
    </row>
    <row r="123" spans="1:10" ht="16.5" outlineLevel="1" x14ac:dyDescent="0.25">
      <c r="A123" s="823"/>
      <c r="B123" s="780"/>
      <c r="C123" s="110" t="s">
        <v>34</v>
      </c>
      <c r="D123" s="73">
        <v>2427542.02</v>
      </c>
      <c r="E123" s="681"/>
      <c r="F123" s="681"/>
      <c r="G123" s="74">
        <v>2426100.35</v>
      </c>
      <c r="H123" s="75">
        <v>42729</v>
      </c>
      <c r="I123" s="678"/>
      <c r="J123" s="52">
        <v>1879845.41</v>
      </c>
    </row>
    <row r="124" spans="1:10" ht="16.5" outlineLevel="1" x14ac:dyDescent="0.25">
      <c r="A124" s="823"/>
      <c r="B124" s="780"/>
      <c r="C124" s="110" t="s">
        <v>35</v>
      </c>
      <c r="D124" s="73">
        <v>452736.5</v>
      </c>
      <c r="E124" s="681"/>
      <c r="F124" s="681"/>
      <c r="G124" s="74">
        <v>452467.63</v>
      </c>
      <c r="H124" s="75">
        <v>42729</v>
      </c>
      <c r="I124" s="678"/>
      <c r="J124" s="52">
        <v>443595.76</v>
      </c>
    </row>
    <row r="125" spans="1:10" ht="16.5" outlineLevel="1" x14ac:dyDescent="0.25">
      <c r="A125" s="823"/>
      <c r="B125" s="780"/>
      <c r="C125" s="110" t="s">
        <v>36</v>
      </c>
      <c r="D125" s="73">
        <v>196065.26</v>
      </c>
      <c r="E125" s="682"/>
      <c r="F125" s="682"/>
      <c r="G125" s="74">
        <v>195948.82</v>
      </c>
      <c r="H125" s="75">
        <v>42729</v>
      </c>
      <c r="I125" s="679"/>
      <c r="J125" s="52">
        <v>192106.67</v>
      </c>
    </row>
    <row r="126" spans="1:10" ht="49.5" outlineLevel="1" x14ac:dyDescent="0.25">
      <c r="A126" s="823"/>
      <c r="B126" s="780"/>
      <c r="C126" s="116" t="s">
        <v>37</v>
      </c>
      <c r="D126" s="59">
        <f>133807.27*1.18</f>
        <v>157892.57859999998</v>
      </c>
      <c r="E126" s="60" t="s">
        <v>549</v>
      </c>
      <c r="F126" s="60" t="s">
        <v>534</v>
      </c>
      <c r="G126" s="86">
        <v>157892.57999999999</v>
      </c>
      <c r="H126" s="62">
        <v>42388</v>
      </c>
      <c r="I126" s="62">
        <v>42350</v>
      </c>
      <c r="J126" s="63">
        <v>157892.57999999999</v>
      </c>
    </row>
    <row r="127" spans="1:10" ht="17.25" outlineLevel="1" thickBot="1" x14ac:dyDescent="0.3">
      <c r="A127" s="818" t="s">
        <v>628</v>
      </c>
      <c r="B127" s="819"/>
      <c r="C127" s="111"/>
      <c r="D127" s="64">
        <f>SUM(D122:D126)</f>
        <v>3664289.7185999998</v>
      </c>
      <c r="E127" s="88"/>
      <c r="F127" s="88"/>
      <c r="G127" s="66">
        <f>SUM(G122:G126)</f>
        <v>3662207.34</v>
      </c>
      <c r="H127" s="88"/>
      <c r="I127" s="130"/>
      <c r="J127" s="64">
        <f>SUM(J122:J126)</f>
        <v>3094811.0999999996</v>
      </c>
    </row>
    <row r="128" spans="1:10" s="4" customFormat="1" ht="16.5" x14ac:dyDescent="0.25">
      <c r="A128" s="822">
        <v>28</v>
      </c>
      <c r="B128" s="829" t="s">
        <v>25</v>
      </c>
      <c r="C128" s="109" t="s">
        <v>38</v>
      </c>
      <c r="D128" s="48">
        <v>430053.36</v>
      </c>
      <c r="E128" s="690" t="s">
        <v>1139</v>
      </c>
      <c r="F128" s="690" t="s">
        <v>697</v>
      </c>
      <c r="G128" s="49">
        <v>429797.96</v>
      </c>
      <c r="H128" s="50">
        <v>42729</v>
      </c>
      <c r="I128" s="675">
        <v>42710</v>
      </c>
      <c r="J128" s="51">
        <v>421370.68</v>
      </c>
    </row>
    <row r="129" spans="1:10" ht="16.5" outlineLevel="1" x14ac:dyDescent="0.25">
      <c r="A129" s="823"/>
      <c r="B129" s="830"/>
      <c r="C129" s="110" t="s">
        <v>34</v>
      </c>
      <c r="D129" s="73">
        <v>2427542.02</v>
      </c>
      <c r="E129" s="681"/>
      <c r="F129" s="681"/>
      <c r="G129" s="74">
        <v>2426100.35</v>
      </c>
      <c r="H129" s="75">
        <v>42729</v>
      </c>
      <c r="I129" s="678"/>
      <c r="J129" s="52">
        <v>1879845.41</v>
      </c>
    </row>
    <row r="130" spans="1:10" ht="16.5" outlineLevel="1" x14ac:dyDescent="0.25">
      <c r="A130" s="823"/>
      <c r="B130" s="830"/>
      <c r="C130" s="110" t="s">
        <v>35</v>
      </c>
      <c r="D130" s="73">
        <v>452736.5</v>
      </c>
      <c r="E130" s="681"/>
      <c r="F130" s="681"/>
      <c r="G130" s="74">
        <v>452467.63</v>
      </c>
      <c r="H130" s="75">
        <v>42729</v>
      </c>
      <c r="I130" s="678"/>
      <c r="J130" s="52">
        <v>443595.76</v>
      </c>
    </row>
    <row r="131" spans="1:10" ht="16.5" outlineLevel="1" x14ac:dyDescent="0.25">
      <c r="A131" s="823"/>
      <c r="B131" s="830"/>
      <c r="C131" s="110" t="s">
        <v>36</v>
      </c>
      <c r="D131" s="73">
        <v>196065.26</v>
      </c>
      <c r="E131" s="682"/>
      <c r="F131" s="682"/>
      <c r="G131" s="74">
        <v>195948.82</v>
      </c>
      <c r="H131" s="75">
        <v>42729</v>
      </c>
      <c r="I131" s="679"/>
      <c r="J131" s="52">
        <v>192106.67</v>
      </c>
    </row>
    <row r="132" spans="1:10" ht="49.5" outlineLevel="1" x14ac:dyDescent="0.25">
      <c r="A132" s="823"/>
      <c r="B132" s="830"/>
      <c r="C132" s="116" t="s">
        <v>37</v>
      </c>
      <c r="D132" s="59">
        <f>134057.3*1.18</f>
        <v>158187.61399999997</v>
      </c>
      <c r="E132" s="60" t="s">
        <v>549</v>
      </c>
      <c r="F132" s="60" t="s">
        <v>534</v>
      </c>
      <c r="G132" s="86">
        <v>158187.60999999999</v>
      </c>
      <c r="H132" s="62">
        <v>42388</v>
      </c>
      <c r="I132" s="62">
        <v>42350</v>
      </c>
      <c r="J132" s="63">
        <v>158187.60999999999</v>
      </c>
    </row>
    <row r="133" spans="1:10" ht="17.25" outlineLevel="1" thickBot="1" x14ac:dyDescent="0.3">
      <c r="A133" s="818" t="s">
        <v>628</v>
      </c>
      <c r="B133" s="819"/>
      <c r="C133" s="111"/>
      <c r="D133" s="64">
        <f>SUM(D128:D132)</f>
        <v>3664584.7539999997</v>
      </c>
      <c r="E133" s="88"/>
      <c r="F133" s="88"/>
      <c r="G133" s="66">
        <f>SUM(G128:G132)</f>
        <v>3662502.3699999996</v>
      </c>
      <c r="H133" s="88"/>
      <c r="I133" s="130"/>
      <c r="J133" s="64">
        <f>SUM(J128:J132)</f>
        <v>3095106.1299999994</v>
      </c>
    </row>
    <row r="134" spans="1:10" s="7" customFormat="1" ht="19.5" customHeight="1" outlineLevel="1" x14ac:dyDescent="0.25">
      <c r="A134" s="131"/>
      <c r="B134" s="871" t="s">
        <v>1008</v>
      </c>
      <c r="C134" s="859"/>
      <c r="D134" s="132">
        <v>2135337</v>
      </c>
      <c r="E134" s="133"/>
      <c r="F134" s="134"/>
      <c r="G134" s="135">
        <f>SUM(G135:G144)</f>
        <v>2135337</v>
      </c>
      <c r="H134" s="136"/>
      <c r="I134" s="137"/>
      <c r="J134" s="135">
        <f>SUM(J135:J144)</f>
        <v>1736491.1300000001</v>
      </c>
    </row>
    <row r="135" spans="1:10" s="23" customFormat="1" ht="49.5" outlineLevel="1" x14ac:dyDescent="0.25">
      <c r="A135" s="540"/>
      <c r="B135" s="540" t="s">
        <v>1322</v>
      </c>
      <c r="C135" s="530" t="s">
        <v>37</v>
      </c>
      <c r="D135" s="186"/>
      <c r="E135" s="712" t="s">
        <v>1330</v>
      </c>
      <c r="F135" s="693" t="s">
        <v>1286</v>
      </c>
      <c r="G135" s="73">
        <v>382819.16</v>
      </c>
      <c r="H135" s="816">
        <v>42766</v>
      </c>
      <c r="I135" s="347"/>
      <c r="J135" s="73">
        <v>324423.03000000003</v>
      </c>
    </row>
    <row r="136" spans="1:10" s="23" customFormat="1" ht="49.5" outlineLevel="1" x14ac:dyDescent="0.25">
      <c r="A136" s="540"/>
      <c r="B136" s="540" t="s">
        <v>1323</v>
      </c>
      <c r="C136" s="530" t="s">
        <v>37</v>
      </c>
      <c r="D136" s="186"/>
      <c r="E136" s="712"/>
      <c r="F136" s="693"/>
      <c r="G136" s="73">
        <v>86277.47</v>
      </c>
      <c r="H136" s="816"/>
      <c r="I136" s="347"/>
      <c r="J136" s="73"/>
    </row>
    <row r="137" spans="1:10" s="23" customFormat="1" ht="49.5" outlineLevel="1" x14ac:dyDescent="0.25">
      <c r="A137" s="540"/>
      <c r="B137" s="540" t="s">
        <v>41</v>
      </c>
      <c r="C137" s="530" t="s">
        <v>37</v>
      </c>
      <c r="D137" s="186"/>
      <c r="E137" s="712"/>
      <c r="F137" s="693"/>
      <c r="G137" s="73">
        <v>89011.14</v>
      </c>
      <c r="H137" s="816"/>
      <c r="I137" s="347"/>
      <c r="J137" s="73">
        <v>75433.17</v>
      </c>
    </row>
    <row r="138" spans="1:10" s="23" customFormat="1" ht="49.5" outlineLevel="1" x14ac:dyDescent="0.25">
      <c r="A138" s="540"/>
      <c r="B138" s="540" t="s">
        <v>1324</v>
      </c>
      <c r="C138" s="530" t="s">
        <v>37</v>
      </c>
      <c r="D138" s="186"/>
      <c r="E138" s="712"/>
      <c r="F138" s="693"/>
      <c r="G138" s="73">
        <v>76592.42</v>
      </c>
      <c r="H138" s="816"/>
      <c r="I138" s="347"/>
      <c r="J138" s="73">
        <v>64908.83</v>
      </c>
    </row>
    <row r="139" spans="1:10" s="23" customFormat="1" ht="49.5" outlineLevel="1" x14ac:dyDescent="0.25">
      <c r="A139" s="540"/>
      <c r="B139" s="540" t="s">
        <v>1325</v>
      </c>
      <c r="C139" s="530" t="s">
        <v>37</v>
      </c>
      <c r="D139" s="186"/>
      <c r="E139" s="712"/>
      <c r="F139" s="693"/>
      <c r="G139" s="73">
        <v>299845.74</v>
      </c>
      <c r="H139" s="816"/>
      <c r="I139" s="347"/>
      <c r="J139" s="73">
        <v>254106.56</v>
      </c>
    </row>
    <row r="140" spans="1:10" s="23" customFormat="1" ht="49.5" outlineLevel="1" x14ac:dyDescent="0.25">
      <c r="A140" s="540"/>
      <c r="B140" s="540" t="s">
        <v>930</v>
      </c>
      <c r="C140" s="530" t="s">
        <v>37</v>
      </c>
      <c r="D140" s="186"/>
      <c r="E140" s="712"/>
      <c r="F140" s="693"/>
      <c r="G140" s="73">
        <v>188861.34</v>
      </c>
      <c r="H140" s="816"/>
      <c r="I140" s="347"/>
      <c r="J140" s="73">
        <v>160051.98000000001</v>
      </c>
    </row>
    <row r="141" spans="1:10" s="23" customFormat="1" ht="49.5" outlineLevel="1" x14ac:dyDescent="0.25">
      <c r="A141" s="540"/>
      <c r="B141" s="540" t="s">
        <v>1326</v>
      </c>
      <c r="C141" s="530" t="s">
        <v>37</v>
      </c>
      <c r="D141" s="186"/>
      <c r="E141" s="712"/>
      <c r="F141" s="693"/>
      <c r="G141" s="73">
        <v>307381.62</v>
      </c>
      <c r="H141" s="816"/>
      <c r="I141" s="347"/>
      <c r="J141" s="73">
        <v>260492.9</v>
      </c>
    </row>
    <row r="142" spans="1:10" s="23" customFormat="1" ht="49.5" outlineLevel="1" x14ac:dyDescent="0.25">
      <c r="A142" s="540"/>
      <c r="B142" s="540" t="s">
        <v>1327</v>
      </c>
      <c r="C142" s="530" t="s">
        <v>37</v>
      </c>
      <c r="D142" s="186"/>
      <c r="E142" s="712"/>
      <c r="F142" s="693"/>
      <c r="G142" s="73">
        <v>200000.34</v>
      </c>
      <c r="H142" s="816"/>
      <c r="I142" s="347"/>
      <c r="J142" s="73">
        <v>169491.81</v>
      </c>
    </row>
    <row r="143" spans="1:10" s="23" customFormat="1" ht="31.5" customHeight="1" outlineLevel="1" x14ac:dyDescent="0.25">
      <c r="A143" s="540"/>
      <c r="B143" s="540" t="s">
        <v>1328</v>
      </c>
      <c r="C143" s="530" t="s">
        <v>37</v>
      </c>
      <c r="D143" s="186"/>
      <c r="E143" s="712"/>
      <c r="F143" s="693"/>
      <c r="G143" s="73">
        <v>249117.77</v>
      </c>
      <c r="H143" s="816"/>
      <c r="I143" s="347"/>
      <c r="J143" s="73">
        <v>211116.75</v>
      </c>
    </row>
    <row r="144" spans="1:10" s="23" customFormat="1" ht="36" customHeight="1" outlineLevel="1" x14ac:dyDescent="0.25">
      <c r="A144" s="540"/>
      <c r="B144" s="540" t="s">
        <v>1329</v>
      </c>
      <c r="C144" s="530" t="s">
        <v>37</v>
      </c>
      <c r="D144" s="186"/>
      <c r="E144" s="712"/>
      <c r="F144" s="693"/>
      <c r="G144" s="73">
        <v>255430</v>
      </c>
      <c r="H144" s="816"/>
      <c r="I144" s="347"/>
      <c r="J144" s="73">
        <v>216466.1</v>
      </c>
    </row>
    <row r="145" spans="1:10" ht="17.25" outlineLevel="1" thickBot="1" x14ac:dyDescent="0.3">
      <c r="A145" s="726" t="s">
        <v>629</v>
      </c>
      <c r="B145" s="727"/>
      <c r="C145" s="143"/>
      <c r="D145" s="144">
        <f>SUM(D133,D127,D121,D115,D109,D103,D100,D97,D85,D79,D76,D73,D70,D67,D59,D51,D48,D40,D37,D34,D31,D28,D25,D19,D14,D11,D45,D91,D134)</f>
        <v>145350576.07920003</v>
      </c>
      <c r="E145" s="145"/>
      <c r="F145" s="145"/>
      <c r="G145" s="144">
        <f>SUM(G133,G127,G121,G115,G109,G103,G100,G97,G85,G79,G76,G73,G70,G67,G59,G51,G48,G40,G37,G34,G31,G28,G25,G19,G14,G11,G45,G91,G134)</f>
        <v>155784082.9752</v>
      </c>
      <c r="H145" s="145"/>
      <c r="I145" s="146"/>
      <c r="J145" s="144">
        <f>SUM(J134,J133,J127,J121,J115,J109,J103,J100,J97,J85,J79,J76,J73,J70,J67,J59,J51,J48,J40,J37,J34,J31,J28,J25,J19,J14,J11,J45,J91)</f>
        <v>137673192.97900003</v>
      </c>
    </row>
    <row r="146" spans="1:10" s="4" customFormat="1" ht="24.75" customHeight="1" thickBot="1" x14ac:dyDescent="0.3">
      <c r="A146" s="747" t="s">
        <v>630</v>
      </c>
      <c r="B146" s="748"/>
      <c r="C146" s="748"/>
      <c r="D146" s="748"/>
      <c r="E146" s="748"/>
      <c r="F146" s="748"/>
      <c r="G146" s="748"/>
      <c r="H146" s="748"/>
      <c r="I146" s="748"/>
      <c r="J146" s="748"/>
    </row>
    <row r="147" spans="1:10" s="4" customFormat="1" ht="30" customHeight="1" x14ac:dyDescent="0.25">
      <c r="A147" s="734">
        <v>1</v>
      </c>
      <c r="B147" s="732" t="s">
        <v>58</v>
      </c>
      <c r="C147" s="70" t="s">
        <v>38</v>
      </c>
      <c r="D147" s="51">
        <v>661631.02</v>
      </c>
      <c r="E147" s="690" t="s">
        <v>809</v>
      </c>
      <c r="F147" s="690" t="s">
        <v>684</v>
      </c>
      <c r="G147" s="148">
        <v>802241.41</v>
      </c>
      <c r="H147" s="50">
        <v>42554</v>
      </c>
      <c r="I147" s="50">
        <v>42607</v>
      </c>
      <c r="J147" s="51">
        <v>661631.02</v>
      </c>
    </row>
    <row r="148" spans="1:10" ht="16.5" outlineLevel="1" x14ac:dyDescent="0.25">
      <c r="A148" s="731"/>
      <c r="B148" s="733"/>
      <c r="C148" s="91" t="s">
        <v>34</v>
      </c>
      <c r="D148" s="52">
        <v>2273437.3199999998</v>
      </c>
      <c r="E148" s="681"/>
      <c r="F148" s="681"/>
      <c r="G148" s="149">
        <v>2941914.29</v>
      </c>
      <c r="H148" s="75">
        <v>42579</v>
      </c>
      <c r="I148" s="75">
        <v>42618</v>
      </c>
      <c r="J148" s="52">
        <v>2273437.3199999998</v>
      </c>
    </row>
    <row r="149" spans="1:10" ht="16.5" outlineLevel="1" x14ac:dyDescent="0.25">
      <c r="A149" s="731"/>
      <c r="B149" s="733"/>
      <c r="C149" s="91" t="s">
        <v>35</v>
      </c>
      <c r="D149" s="52">
        <v>497111.93</v>
      </c>
      <c r="E149" s="681"/>
      <c r="F149" s="681"/>
      <c r="G149" s="149">
        <v>670846.76</v>
      </c>
      <c r="H149" s="75">
        <v>42574</v>
      </c>
      <c r="I149" s="75">
        <v>42655</v>
      </c>
      <c r="J149" s="52">
        <v>497111.93</v>
      </c>
    </row>
    <row r="150" spans="1:10" ht="16.5" outlineLevel="1" x14ac:dyDescent="0.25">
      <c r="A150" s="731"/>
      <c r="B150" s="733"/>
      <c r="C150" s="91" t="s">
        <v>500</v>
      </c>
      <c r="D150" s="52">
        <v>3934564.27</v>
      </c>
      <c r="E150" s="682"/>
      <c r="F150" s="682"/>
      <c r="G150" s="149">
        <v>4013313.4</v>
      </c>
      <c r="H150" s="75">
        <v>42587</v>
      </c>
      <c r="I150" s="75">
        <v>42618</v>
      </c>
      <c r="J150" s="52">
        <v>3934564.27</v>
      </c>
    </row>
    <row r="151" spans="1:10" ht="33" outlineLevel="1" x14ac:dyDescent="0.25">
      <c r="A151" s="731"/>
      <c r="B151" s="733"/>
      <c r="C151" s="150" t="s">
        <v>37</v>
      </c>
      <c r="D151" s="151">
        <f>263134.1*1.18</f>
        <v>310498.23799999995</v>
      </c>
      <c r="E151" s="152" t="s">
        <v>558</v>
      </c>
      <c r="F151" s="152" t="s">
        <v>548</v>
      </c>
      <c r="G151" s="153">
        <f>263134.1*1.18</f>
        <v>310498.23799999995</v>
      </c>
      <c r="H151" s="154">
        <v>42424</v>
      </c>
      <c r="I151" s="154">
        <v>42415</v>
      </c>
      <c r="J151" s="155">
        <v>310498.24</v>
      </c>
    </row>
    <row r="152" spans="1:10" ht="17.25" outlineLevel="1" thickBot="1" x14ac:dyDescent="0.3">
      <c r="A152" s="686" t="s">
        <v>628</v>
      </c>
      <c r="B152" s="687"/>
      <c r="C152" s="156"/>
      <c r="D152" s="157">
        <f>SUM(D147:D151)</f>
        <v>7677242.7779999999</v>
      </c>
      <c r="E152" s="65"/>
      <c r="F152" s="65"/>
      <c r="G152" s="158">
        <f>SUM(G147:G151)</f>
        <v>8738814.0979999993</v>
      </c>
      <c r="H152" s="65"/>
      <c r="I152" s="67"/>
      <c r="J152" s="157">
        <f>SUM(J147:J151)</f>
        <v>7677242.7800000003</v>
      </c>
    </row>
    <row r="153" spans="1:10" s="4" customFormat="1" ht="30.75" customHeight="1" x14ac:dyDescent="0.25">
      <c r="A153" s="734">
        <v>2</v>
      </c>
      <c r="B153" s="732" t="s">
        <v>64</v>
      </c>
      <c r="C153" s="70" t="s">
        <v>500</v>
      </c>
      <c r="D153" s="51">
        <v>4315413.93</v>
      </c>
      <c r="E153" s="70" t="s">
        <v>809</v>
      </c>
      <c r="F153" s="70" t="s">
        <v>684</v>
      </c>
      <c r="G153" s="148">
        <v>4317264.7</v>
      </c>
      <c r="H153" s="50">
        <v>42593</v>
      </c>
      <c r="I153" s="50">
        <v>42608</v>
      </c>
      <c r="J153" s="51">
        <v>4315413.9299999988</v>
      </c>
    </row>
    <row r="154" spans="1:10" ht="33" outlineLevel="1" x14ac:dyDescent="0.25">
      <c r="A154" s="731"/>
      <c r="B154" s="733"/>
      <c r="C154" s="116" t="s">
        <v>37</v>
      </c>
      <c r="D154" s="59">
        <v>73865.48</v>
      </c>
      <c r="E154" s="60" t="s">
        <v>555</v>
      </c>
      <c r="F154" s="60" t="s">
        <v>554</v>
      </c>
      <c r="G154" s="61">
        <f>62597.86*1.18</f>
        <v>73865.474799999996</v>
      </c>
      <c r="H154" s="62">
        <v>42429</v>
      </c>
      <c r="I154" s="62">
        <v>42383</v>
      </c>
      <c r="J154" s="63">
        <v>73865.48</v>
      </c>
    </row>
    <row r="155" spans="1:10" ht="17.25" outlineLevel="1" thickBot="1" x14ac:dyDescent="0.3">
      <c r="A155" s="686" t="s">
        <v>628</v>
      </c>
      <c r="B155" s="687"/>
      <c r="C155" s="156"/>
      <c r="D155" s="157">
        <f>SUM(D153:D154)</f>
        <v>4389279.41</v>
      </c>
      <c r="E155" s="65"/>
      <c r="F155" s="65"/>
      <c r="G155" s="158">
        <f>SUM(G153:G154)</f>
        <v>4391130.1748000002</v>
      </c>
      <c r="H155" s="65"/>
      <c r="I155" s="67"/>
      <c r="J155" s="157">
        <f>SUM(J153:J154)</f>
        <v>4389279.4099999992</v>
      </c>
    </row>
    <row r="156" spans="1:10" s="22" customFormat="1" ht="33" x14ac:dyDescent="0.25">
      <c r="A156" s="734">
        <v>3</v>
      </c>
      <c r="B156" s="732" t="s">
        <v>59</v>
      </c>
      <c r="C156" s="670" t="s">
        <v>501</v>
      </c>
      <c r="D156" s="51">
        <v>5390000</v>
      </c>
      <c r="E156" s="666" t="s">
        <v>1040</v>
      </c>
      <c r="F156" s="666" t="s">
        <v>684</v>
      </c>
      <c r="G156" s="226">
        <v>4290153.55</v>
      </c>
      <c r="H156" s="665">
        <v>42811</v>
      </c>
      <c r="I156" s="667">
        <v>42912</v>
      </c>
      <c r="J156" s="51">
        <v>4289714.59</v>
      </c>
    </row>
    <row r="157" spans="1:10" ht="33" outlineLevel="1" x14ac:dyDescent="0.25">
      <c r="A157" s="731"/>
      <c r="B157" s="733"/>
      <c r="C157" s="150" t="s">
        <v>37</v>
      </c>
      <c r="D157" s="151">
        <f>88506.22*1.18</f>
        <v>104437.33959999999</v>
      </c>
      <c r="E157" s="152" t="s">
        <v>558</v>
      </c>
      <c r="F157" s="152" t="s">
        <v>548</v>
      </c>
      <c r="G157" s="153">
        <f>88506.22*1.18</f>
        <v>104437.33959999999</v>
      </c>
      <c r="H157" s="154">
        <v>42424</v>
      </c>
      <c r="I157" s="154">
        <v>42415</v>
      </c>
      <c r="J157" s="155">
        <v>104437.34</v>
      </c>
    </row>
    <row r="158" spans="1:10" ht="17.25" outlineLevel="1" thickBot="1" x14ac:dyDescent="0.3">
      <c r="A158" s="724" t="s">
        <v>628</v>
      </c>
      <c r="B158" s="725"/>
      <c r="C158" s="164"/>
      <c r="D158" s="165">
        <f>SUM(D156:D157)</f>
        <v>5494437.3395999996</v>
      </c>
      <c r="E158" s="90"/>
      <c r="F158" s="90"/>
      <c r="G158" s="166">
        <f>SUM(G156:G157)</f>
        <v>4394590.8895999994</v>
      </c>
      <c r="H158" s="90"/>
      <c r="I158" s="108"/>
      <c r="J158" s="165">
        <f>SUM(J156:J157)</f>
        <v>4394151.93</v>
      </c>
    </row>
    <row r="159" spans="1:10" s="4" customFormat="1" ht="33" x14ac:dyDescent="0.25">
      <c r="A159" s="734">
        <v>4</v>
      </c>
      <c r="B159" s="732" t="s">
        <v>65</v>
      </c>
      <c r="C159" s="70" t="s">
        <v>500</v>
      </c>
      <c r="D159" s="51">
        <v>3888108.91</v>
      </c>
      <c r="E159" s="70" t="s">
        <v>809</v>
      </c>
      <c r="F159" s="70" t="s">
        <v>684</v>
      </c>
      <c r="G159" s="148">
        <v>3888203.07</v>
      </c>
      <c r="H159" s="50">
        <v>42549</v>
      </c>
      <c r="I159" s="50">
        <v>42580</v>
      </c>
      <c r="J159" s="51">
        <v>3888108.91</v>
      </c>
    </row>
    <row r="160" spans="1:10" ht="33" outlineLevel="1" x14ac:dyDescent="0.25">
      <c r="A160" s="731"/>
      <c r="B160" s="733"/>
      <c r="C160" s="116" t="s">
        <v>37</v>
      </c>
      <c r="D160" s="59">
        <f>94384.03*1.18</f>
        <v>111373.15539999999</v>
      </c>
      <c r="E160" s="60" t="s">
        <v>555</v>
      </c>
      <c r="F160" s="60" t="s">
        <v>554</v>
      </c>
      <c r="G160" s="61">
        <f>94384.03*1.18</f>
        <v>111373.15539999999</v>
      </c>
      <c r="H160" s="62">
        <v>42429</v>
      </c>
      <c r="I160" s="62">
        <v>42383</v>
      </c>
      <c r="J160" s="63">
        <v>111373.15</v>
      </c>
    </row>
    <row r="161" spans="1:10" ht="17.25" outlineLevel="1" thickBot="1" x14ac:dyDescent="0.3">
      <c r="A161" s="686" t="s">
        <v>628</v>
      </c>
      <c r="B161" s="687"/>
      <c r="C161" s="156"/>
      <c r="D161" s="157">
        <f>SUM(D159:D160)</f>
        <v>3999482.0654000002</v>
      </c>
      <c r="E161" s="88"/>
      <c r="F161" s="88"/>
      <c r="G161" s="158">
        <f>SUM(G159:G160)</f>
        <v>3999576.2253999999</v>
      </c>
      <c r="H161" s="88"/>
      <c r="I161" s="130"/>
      <c r="J161" s="157">
        <f>SUM(J159:J160)</f>
        <v>3999482.06</v>
      </c>
    </row>
    <row r="162" spans="1:10" s="4" customFormat="1" ht="33" x14ac:dyDescent="0.25">
      <c r="A162" s="734">
        <v>5</v>
      </c>
      <c r="B162" s="732" t="s">
        <v>66</v>
      </c>
      <c r="C162" s="70" t="s">
        <v>500</v>
      </c>
      <c r="D162" s="51">
        <v>3767581.23</v>
      </c>
      <c r="E162" s="70" t="s">
        <v>809</v>
      </c>
      <c r="F162" s="70" t="s">
        <v>684</v>
      </c>
      <c r="G162" s="148">
        <v>3767619.35</v>
      </c>
      <c r="H162" s="50">
        <v>42571</v>
      </c>
      <c r="I162" s="50">
        <v>42580</v>
      </c>
      <c r="J162" s="51">
        <v>3767581.2299999995</v>
      </c>
    </row>
    <row r="163" spans="1:10" ht="33" outlineLevel="1" x14ac:dyDescent="0.25">
      <c r="A163" s="731"/>
      <c r="B163" s="733"/>
      <c r="C163" s="116" t="s">
        <v>37</v>
      </c>
      <c r="D163" s="59">
        <f>58956.74*1.18</f>
        <v>69568.953199999989</v>
      </c>
      <c r="E163" s="60" t="s">
        <v>555</v>
      </c>
      <c r="F163" s="60" t="s">
        <v>554</v>
      </c>
      <c r="G163" s="61">
        <f>58956.74*1.18</f>
        <v>69568.953199999989</v>
      </c>
      <c r="H163" s="62">
        <v>42429</v>
      </c>
      <c r="I163" s="62">
        <v>42383</v>
      </c>
      <c r="J163" s="63">
        <v>69568.95</v>
      </c>
    </row>
    <row r="164" spans="1:10" ht="17.25" outlineLevel="1" thickBot="1" x14ac:dyDescent="0.3">
      <c r="A164" s="686" t="s">
        <v>628</v>
      </c>
      <c r="B164" s="687"/>
      <c r="C164" s="156"/>
      <c r="D164" s="157">
        <f>SUM(D162:D163)</f>
        <v>3837150.1831999999</v>
      </c>
      <c r="E164" s="88"/>
      <c r="F164" s="88"/>
      <c r="G164" s="158">
        <f>SUM(G162:G163)</f>
        <v>3837188.3032</v>
      </c>
      <c r="H164" s="88"/>
      <c r="I164" s="130"/>
      <c r="J164" s="157">
        <f>SUM(J162:J163)</f>
        <v>3837150.1799999997</v>
      </c>
    </row>
    <row r="165" spans="1:10" s="4" customFormat="1" ht="33" x14ac:dyDescent="0.25">
      <c r="A165" s="734">
        <v>6</v>
      </c>
      <c r="B165" s="732" t="s">
        <v>67</v>
      </c>
      <c r="C165" s="70" t="s">
        <v>500</v>
      </c>
      <c r="D165" s="51">
        <v>4428195.5599999996</v>
      </c>
      <c r="E165" s="70" t="s">
        <v>809</v>
      </c>
      <c r="F165" s="70" t="s">
        <v>684</v>
      </c>
      <c r="G165" s="148">
        <v>4106698.3</v>
      </c>
      <c r="H165" s="50">
        <v>42601</v>
      </c>
      <c r="I165" s="50">
        <v>42598</v>
      </c>
      <c r="J165" s="51">
        <v>4428195.5599999996</v>
      </c>
    </row>
    <row r="166" spans="1:10" ht="33" outlineLevel="1" x14ac:dyDescent="0.25">
      <c r="A166" s="731"/>
      <c r="B166" s="733"/>
      <c r="C166" s="116" t="s">
        <v>37</v>
      </c>
      <c r="D166" s="59">
        <f>67030.9*1.18</f>
        <v>79096.461999999985</v>
      </c>
      <c r="E166" s="60" t="s">
        <v>555</v>
      </c>
      <c r="F166" s="60" t="s">
        <v>554</v>
      </c>
      <c r="G166" s="61">
        <f>67030.9*1.18</f>
        <v>79096.461999999985</v>
      </c>
      <c r="H166" s="62">
        <v>42429</v>
      </c>
      <c r="I166" s="62">
        <v>42383</v>
      </c>
      <c r="J166" s="63">
        <v>79096.460000000006</v>
      </c>
    </row>
    <row r="167" spans="1:10" ht="17.25" outlineLevel="1" thickBot="1" x14ac:dyDescent="0.3">
      <c r="A167" s="686" t="s">
        <v>628</v>
      </c>
      <c r="B167" s="687"/>
      <c r="C167" s="156"/>
      <c r="D167" s="157">
        <f>SUM(D165:D166)</f>
        <v>4507292.0219999999</v>
      </c>
      <c r="E167" s="88"/>
      <c r="F167" s="88"/>
      <c r="G167" s="158">
        <f>SUM(G165:G166)</f>
        <v>4185794.7619999996</v>
      </c>
      <c r="H167" s="88"/>
      <c r="I167" s="130"/>
      <c r="J167" s="157">
        <f>SUM(J165:J166)</f>
        <v>4507292.0199999996</v>
      </c>
    </row>
    <row r="168" spans="1:10" s="4" customFormat="1" ht="33" x14ac:dyDescent="0.25">
      <c r="A168" s="734">
        <v>7</v>
      </c>
      <c r="B168" s="732" t="s">
        <v>68</v>
      </c>
      <c r="C168" s="70" t="s">
        <v>500</v>
      </c>
      <c r="D168" s="51">
        <v>3220316.88</v>
      </c>
      <c r="E168" s="70" t="s">
        <v>809</v>
      </c>
      <c r="F168" s="70" t="s">
        <v>684</v>
      </c>
      <c r="G168" s="148">
        <v>3221048.89</v>
      </c>
      <c r="H168" s="50">
        <v>42549</v>
      </c>
      <c r="I168" s="50">
        <v>42580</v>
      </c>
      <c r="J168" s="51">
        <v>3220316.88</v>
      </c>
    </row>
    <row r="169" spans="1:10" ht="33" outlineLevel="1" x14ac:dyDescent="0.25">
      <c r="A169" s="731"/>
      <c r="B169" s="733"/>
      <c r="C169" s="116" t="s">
        <v>37</v>
      </c>
      <c r="D169" s="59">
        <f>62254.17*1.18</f>
        <v>73459.920599999998</v>
      </c>
      <c r="E169" s="60" t="s">
        <v>555</v>
      </c>
      <c r="F169" s="60" t="s">
        <v>554</v>
      </c>
      <c r="G169" s="61">
        <f>62254.17*1.18</f>
        <v>73459.920599999998</v>
      </c>
      <c r="H169" s="62">
        <v>42429</v>
      </c>
      <c r="I169" s="62">
        <v>42383</v>
      </c>
      <c r="J169" s="63">
        <v>73459.92</v>
      </c>
    </row>
    <row r="170" spans="1:10" ht="17.25" outlineLevel="1" thickBot="1" x14ac:dyDescent="0.3">
      <c r="A170" s="686" t="s">
        <v>628</v>
      </c>
      <c r="B170" s="687"/>
      <c r="C170" s="156"/>
      <c r="D170" s="157">
        <f>SUM(D168:D169)</f>
        <v>3293776.8005999997</v>
      </c>
      <c r="E170" s="88"/>
      <c r="F170" s="88"/>
      <c r="G170" s="158">
        <f>SUM(G168:G169)</f>
        <v>3294508.8106</v>
      </c>
      <c r="H170" s="88"/>
      <c r="I170" s="130"/>
      <c r="J170" s="157">
        <f>SUM(J168:J169)</f>
        <v>3293776.8</v>
      </c>
    </row>
    <row r="171" spans="1:10" s="22" customFormat="1" ht="33" x14ac:dyDescent="0.25">
      <c r="A171" s="734">
        <v>8</v>
      </c>
      <c r="B171" s="732" t="s">
        <v>69</v>
      </c>
      <c r="C171" s="70" t="s">
        <v>500</v>
      </c>
      <c r="D171" s="51">
        <v>3223100.32</v>
      </c>
      <c r="E171" s="70" t="s">
        <v>809</v>
      </c>
      <c r="F171" s="70" t="s">
        <v>684</v>
      </c>
      <c r="G171" s="148">
        <v>3225763.8169999998</v>
      </c>
      <c r="H171" s="50">
        <v>42604</v>
      </c>
      <c r="I171" s="50">
        <v>42608</v>
      </c>
      <c r="J171" s="51">
        <v>3223100.3199999994</v>
      </c>
    </row>
    <row r="172" spans="1:10" ht="33" outlineLevel="1" x14ac:dyDescent="0.25">
      <c r="A172" s="731"/>
      <c r="B172" s="733"/>
      <c r="C172" s="116" t="s">
        <v>37</v>
      </c>
      <c r="D172" s="59">
        <f>81121.15*1.18</f>
        <v>95722.956999999995</v>
      </c>
      <c r="E172" s="60" t="s">
        <v>555</v>
      </c>
      <c r="F172" s="60" t="s">
        <v>554</v>
      </c>
      <c r="G172" s="61">
        <f>81121.15*1.18</f>
        <v>95722.956999999995</v>
      </c>
      <c r="H172" s="62">
        <v>42429</v>
      </c>
      <c r="I172" s="62">
        <v>42383</v>
      </c>
      <c r="J172" s="63">
        <v>95722.96</v>
      </c>
    </row>
    <row r="173" spans="1:10" ht="17.25" outlineLevel="1" thickBot="1" x14ac:dyDescent="0.3">
      <c r="A173" s="724" t="s">
        <v>628</v>
      </c>
      <c r="B173" s="725"/>
      <c r="C173" s="164"/>
      <c r="D173" s="165">
        <f>SUM(D171:D172)</f>
        <v>3318823.2769999998</v>
      </c>
      <c r="E173" s="78"/>
      <c r="F173" s="78"/>
      <c r="G173" s="166">
        <f>SUM(G171:G172)</f>
        <v>3321486.7739999997</v>
      </c>
      <c r="H173" s="78"/>
      <c r="I173" s="167"/>
      <c r="J173" s="165">
        <f>SUM(J171:J172)</f>
        <v>3318823.2799999993</v>
      </c>
    </row>
    <row r="174" spans="1:10" s="4" customFormat="1" ht="30" customHeight="1" x14ac:dyDescent="0.25">
      <c r="A174" s="734">
        <v>9</v>
      </c>
      <c r="B174" s="732" t="s">
        <v>60</v>
      </c>
      <c r="C174" s="70" t="s">
        <v>34</v>
      </c>
      <c r="D174" s="51">
        <v>1465958.6</v>
      </c>
      <c r="E174" s="690" t="s">
        <v>809</v>
      </c>
      <c r="F174" s="690" t="s">
        <v>684</v>
      </c>
      <c r="G174" s="148">
        <v>1735045.69</v>
      </c>
      <c r="H174" s="50">
        <v>42550</v>
      </c>
      <c r="I174" s="50">
        <v>42627</v>
      </c>
      <c r="J174" s="51">
        <v>1465958.6</v>
      </c>
    </row>
    <row r="175" spans="1:10" s="12" customFormat="1" ht="16.5" outlineLevel="1" x14ac:dyDescent="0.25">
      <c r="A175" s="731"/>
      <c r="B175" s="733"/>
      <c r="C175" s="91" t="s">
        <v>35</v>
      </c>
      <c r="D175" s="52">
        <v>244714.3</v>
      </c>
      <c r="E175" s="682"/>
      <c r="F175" s="682"/>
      <c r="G175" s="149">
        <v>322109.26</v>
      </c>
      <c r="H175" s="75">
        <v>42559</v>
      </c>
      <c r="I175" s="75">
        <v>42607</v>
      </c>
      <c r="J175" s="52">
        <v>244714.3</v>
      </c>
    </row>
    <row r="176" spans="1:10" ht="33" outlineLevel="1" x14ac:dyDescent="0.25">
      <c r="A176" s="731"/>
      <c r="B176" s="733"/>
      <c r="C176" s="168" t="s">
        <v>37</v>
      </c>
      <c r="D176" s="169">
        <f>82992*1.18</f>
        <v>97930.559999999998</v>
      </c>
      <c r="E176" s="170" t="s">
        <v>558</v>
      </c>
      <c r="F176" s="170" t="s">
        <v>548</v>
      </c>
      <c r="G176" s="171">
        <f>82992*1.18</f>
        <v>97930.559999999998</v>
      </c>
      <c r="H176" s="172">
        <v>42424</v>
      </c>
      <c r="I176" s="172">
        <v>42415</v>
      </c>
      <c r="J176" s="173">
        <v>97930.559999999998</v>
      </c>
    </row>
    <row r="177" spans="1:10" ht="17.25" outlineLevel="1" thickBot="1" x14ac:dyDescent="0.3">
      <c r="A177" s="686" t="s">
        <v>628</v>
      </c>
      <c r="B177" s="687"/>
      <c r="C177" s="156"/>
      <c r="D177" s="157">
        <f>SUM(D174:D176)</f>
        <v>1808603.4600000002</v>
      </c>
      <c r="E177" s="88"/>
      <c r="F177" s="88"/>
      <c r="G177" s="158">
        <f>SUM(G174:G176)</f>
        <v>2155085.5099999998</v>
      </c>
      <c r="H177" s="88"/>
      <c r="I177" s="130"/>
      <c r="J177" s="157">
        <f>SUM(J174:J176)</f>
        <v>1808603.4600000002</v>
      </c>
    </row>
    <row r="178" spans="1:10" s="4" customFormat="1" ht="33" x14ac:dyDescent="0.25">
      <c r="A178" s="734">
        <v>10</v>
      </c>
      <c r="B178" s="732" t="s">
        <v>70</v>
      </c>
      <c r="C178" s="70" t="s">
        <v>500</v>
      </c>
      <c r="D178" s="51">
        <v>6186616.2199999997</v>
      </c>
      <c r="E178" s="70" t="s">
        <v>809</v>
      </c>
      <c r="F178" s="70" t="s">
        <v>684</v>
      </c>
      <c r="G178" s="148">
        <v>5807766.4800000004</v>
      </c>
      <c r="H178" s="50">
        <v>42610</v>
      </c>
      <c r="I178" s="50">
        <v>42627</v>
      </c>
      <c r="J178" s="51">
        <v>6186616.2199999997</v>
      </c>
    </row>
    <row r="179" spans="1:10" ht="33" outlineLevel="1" x14ac:dyDescent="0.25">
      <c r="A179" s="731"/>
      <c r="B179" s="733"/>
      <c r="C179" s="116" t="s">
        <v>37</v>
      </c>
      <c r="D179" s="59">
        <f>69287.4*1.18</f>
        <v>81759.131999999983</v>
      </c>
      <c r="E179" s="60" t="s">
        <v>555</v>
      </c>
      <c r="F179" s="60" t="s">
        <v>554</v>
      </c>
      <c r="G179" s="61">
        <f>69287.4*1.18</f>
        <v>81759.131999999983</v>
      </c>
      <c r="H179" s="62">
        <v>42429</v>
      </c>
      <c r="I179" s="62">
        <v>42383</v>
      </c>
      <c r="J179" s="63">
        <v>81759.13</v>
      </c>
    </row>
    <row r="180" spans="1:10" ht="17.25" outlineLevel="1" thickBot="1" x14ac:dyDescent="0.3">
      <c r="A180" s="686" t="s">
        <v>628</v>
      </c>
      <c r="B180" s="687"/>
      <c r="C180" s="156"/>
      <c r="D180" s="157">
        <f>SUM(D178:D179)</f>
        <v>6268375.352</v>
      </c>
      <c r="E180" s="65"/>
      <c r="F180" s="65"/>
      <c r="G180" s="158">
        <f>SUM(G178:G179)</f>
        <v>5889525.6120000007</v>
      </c>
      <c r="H180" s="65"/>
      <c r="I180" s="67"/>
      <c r="J180" s="157">
        <f>SUM(J178:J179)</f>
        <v>6268375.3499999996</v>
      </c>
    </row>
    <row r="181" spans="1:10" s="4" customFormat="1" ht="33" x14ac:dyDescent="0.25">
      <c r="A181" s="734">
        <v>11</v>
      </c>
      <c r="B181" s="732" t="s">
        <v>71</v>
      </c>
      <c r="C181" s="70" t="s">
        <v>500</v>
      </c>
      <c r="D181" s="51">
        <v>2214377.5</v>
      </c>
      <c r="E181" s="70" t="s">
        <v>809</v>
      </c>
      <c r="F181" s="70" t="s">
        <v>684</v>
      </c>
      <c r="G181" s="148">
        <v>2325598.58</v>
      </c>
      <c r="H181" s="50">
        <v>42544</v>
      </c>
      <c r="I181" s="50">
        <v>42551</v>
      </c>
      <c r="J181" s="51">
        <v>2214377.5</v>
      </c>
    </row>
    <row r="182" spans="1:10" ht="33" outlineLevel="1" x14ac:dyDescent="0.25">
      <c r="A182" s="731"/>
      <c r="B182" s="733"/>
      <c r="C182" s="116" t="s">
        <v>37</v>
      </c>
      <c r="D182" s="59">
        <f>60345.78*1.18</f>
        <v>71208.020399999994</v>
      </c>
      <c r="E182" s="60" t="s">
        <v>555</v>
      </c>
      <c r="F182" s="60" t="s">
        <v>554</v>
      </c>
      <c r="G182" s="61">
        <f>60345.78*1.18</f>
        <v>71208.020399999994</v>
      </c>
      <c r="H182" s="62">
        <v>42429</v>
      </c>
      <c r="I182" s="62">
        <v>42383</v>
      </c>
      <c r="J182" s="63">
        <v>71208.02</v>
      </c>
    </row>
    <row r="183" spans="1:10" ht="17.25" outlineLevel="1" thickBot="1" x14ac:dyDescent="0.3">
      <c r="A183" s="724" t="s">
        <v>628</v>
      </c>
      <c r="B183" s="725"/>
      <c r="C183" s="164"/>
      <c r="D183" s="165">
        <f>SUM(D181:D182)</f>
        <v>2285585.5203999998</v>
      </c>
      <c r="E183" s="78"/>
      <c r="F183" s="78"/>
      <c r="G183" s="166">
        <f>SUM(G181:G182)</f>
        <v>2396806.6003999999</v>
      </c>
      <c r="H183" s="78"/>
      <c r="I183" s="167"/>
      <c r="J183" s="165">
        <f>SUM(J181:J182)</f>
        <v>2285585.52</v>
      </c>
    </row>
    <row r="184" spans="1:10" s="22" customFormat="1" ht="30" customHeight="1" x14ac:dyDescent="0.25">
      <c r="A184" s="734">
        <v>12</v>
      </c>
      <c r="B184" s="732" t="s">
        <v>39</v>
      </c>
      <c r="C184" s="70" t="s">
        <v>500</v>
      </c>
      <c r="D184" s="51">
        <v>2653612.1100000003</v>
      </c>
      <c r="E184" s="70" t="s">
        <v>808</v>
      </c>
      <c r="F184" s="70" t="s">
        <v>684</v>
      </c>
      <c r="G184" s="148">
        <v>2672198.29</v>
      </c>
      <c r="H184" s="50">
        <v>42610</v>
      </c>
      <c r="I184" s="50">
        <v>42608</v>
      </c>
      <c r="J184" s="51">
        <v>2653612.1100000003</v>
      </c>
    </row>
    <row r="185" spans="1:10" ht="33" outlineLevel="1" x14ac:dyDescent="0.25">
      <c r="A185" s="731"/>
      <c r="B185" s="733"/>
      <c r="C185" s="116" t="s">
        <v>37</v>
      </c>
      <c r="D185" s="59">
        <f>59930.74*1.18</f>
        <v>70718.273199999996</v>
      </c>
      <c r="E185" s="60" t="s">
        <v>555</v>
      </c>
      <c r="F185" s="60" t="s">
        <v>554</v>
      </c>
      <c r="G185" s="61">
        <f>59930.74*1.18</f>
        <v>70718.273199999996</v>
      </c>
      <c r="H185" s="62">
        <v>42429</v>
      </c>
      <c r="I185" s="62">
        <v>42383</v>
      </c>
      <c r="J185" s="63">
        <v>70718.27</v>
      </c>
    </row>
    <row r="186" spans="1:10" ht="15" customHeight="1" outlineLevel="1" thickBot="1" x14ac:dyDescent="0.3">
      <c r="A186" s="686" t="s">
        <v>628</v>
      </c>
      <c r="B186" s="687"/>
      <c r="C186" s="156"/>
      <c r="D186" s="157">
        <f>SUM(D184:D185)</f>
        <v>2724330.3832000005</v>
      </c>
      <c r="E186" s="65"/>
      <c r="F186" s="65"/>
      <c r="G186" s="158">
        <f>SUM(G184:G185)</f>
        <v>2742916.5632000002</v>
      </c>
      <c r="H186" s="65"/>
      <c r="I186" s="67"/>
      <c r="J186" s="157">
        <f>SUM(J184:J185)</f>
        <v>2724330.3800000004</v>
      </c>
    </row>
    <row r="187" spans="1:10" s="4" customFormat="1" ht="33" x14ac:dyDescent="0.25">
      <c r="A187" s="734">
        <v>13</v>
      </c>
      <c r="B187" s="732" t="s">
        <v>72</v>
      </c>
      <c r="C187" s="70" t="s">
        <v>500</v>
      </c>
      <c r="D187" s="51">
        <v>4464851.43</v>
      </c>
      <c r="E187" s="70" t="s">
        <v>808</v>
      </c>
      <c r="F187" s="70" t="s">
        <v>684</v>
      </c>
      <c r="G187" s="148">
        <v>4265440.8099999996</v>
      </c>
      <c r="H187" s="50">
        <v>42610</v>
      </c>
      <c r="I187" s="50">
        <v>42563</v>
      </c>
      <c r="J187" s="51">
        <v>4464851.43</v>
      </c>
    </row>
    <row r="188" spans="1:10" ht="33" outlineLevel="1" x14ac:dyDescent="0.25">
      <c r="A188" s="731"/>
      <c r="B188" s="733"/>
      <c r="C188" s="116" t="s">
        <v>37</v>
      </c>
      <c r="D188" s="59">
        <f>50642.19*1.18</f>
        <v>59757.784200000002</v>
      </c>
      <c r="E188" s="60" t="s">
        <v>555</v>
      </c>
      <c r="F188" s="60" t="s">
        <v>554</v>
      </c>
      <c r="G188" s="61">
        <f>50642.19*1.18</f>
        <v>59757.784200000002</v>
      </c>
      <c r="H188" s="62">
        <v>42429</v>
      </c>
      <c r="I188" s="62">
        <v>42383</v>
      </c>
      <c r="J188" s="63">
        <v>59757.78</v>
      </c>
    </row>
    <row r="189" spans="1:10" ht="17.25" outlineLevel="1" thickBot="1" x14ac:dyDescent="0.3">
      <c r="A189" s="686" t="s">
        <v>628</v>
      </c>
      <c r="B189" s="687"/>
      <c r="C189" s="156"/>
      <c r="D189" s="157">
        <f>SUM(D187:D188)</f>
        <v>4524609.2141999993</v>
      </c>
      <c r="E189" s="88"/>
      <c r="F189" s="88"/>
      <c r="G189" s="158">
        <f>SUM(G187:G188)</f>
        <v>4325198.5941999992</v>
      </c>
      <c r="H189" s="88"/>
      <c r="I189" s="130"/>
      <c r="J189" s="157">
        <f>SUM(J187:J188)</f>
        <v>4524609.21</v>
      </c>
    </row>
    <row r="190" spans="1:10" s="4" customFormat="1" ht="33" x14ac:dyDescent="0.25">
      <c r="A190" s="734">
        <v>14</v>
      </c>
      <c r="B190" s="732" t="s">
        <v>61</v>
      </c>
      <c r="C190" s="159" t="s">
        <v>501</v>
      </c>
      <c r="D190" s="160">
        <v>4125000</v>
      </c>
      <c r="E190" s="161" t="s">
        <v>1040</v>
      </c>
      <c r="F190" s="161" t="s">
        <v>684</v>
      </c>
      <c r="G190" s="162">
        <v>3122713.77</v>
      </c>
      <c r="H190" s="58">
        <v>42811</v>
      </c>
      <c r="I190" s="84"/>
      <c r="J190" s="85"/>
    </row>
    <row r="191" spans="1:10" ht="33" outlineLevel="1" x14ac:dyDescent="0.25">
      <c r="A191" s="731"/>
      <c r="B191" s="733"/>
      <c r="C191" s="150" t="s">
        <v>37</v>
      </c>
      <c r="D191" s="151">
        <f>79998.46*1.18</f>
        <v>94398.18280000001</v>
      </c>
      <c r="E191" s="152" t="s">
        <v>558</v>
      </c>
      <c r="F191" s="152" t="s">
        <v>548</v>
      </c>
      <c r="G191" s="153">
        <f>79998.46*1.18</f>
        <v>94398.18280000001</v>
      </c>
      <c r="H191" s="154">
        <v>42424</v>
      </c>
      <c r="I191" s="154">
        <v>42415</v>
      </c>
      <c r="J191" s="155">
        <v>94398.18</v>
      </c>
    </row>
    <row r="192" spans="1:10" ht="17.25" outlineLevel="1" thickBot="1" x14ac:dyDescent="0.3">
      <c r="A192" s="724" t="s">
        <v>628</v>
      </c>
      <c r="B192" s="725"/>
      <c r="C192" s="164"/>
      <c r="D192" s="165">
        <f>SUM(D190:D191)</f>
        <v>4219398.1827999996</v>
      </c>
      <c r="E192" s="90"/>
      <c r="F192" s="90"/>
      <c r="G192" s="166">
        <f>SUM(G190:G191)</f>
        <v>3217111.9528000001</v>
      </c>
      <c r="H192" s="90"/>
      <c r="I192" s="108"/>
      <c r="J192" s="165">
        <f>SUM(J190:J191)</f>
        <v>94398.18</v>
      </c>
    </row>
    <row r="193" spans="1:10" s="22" customFormat="1" ht="33" x14ac:dyDescent="0.25">
      <c r="A193" s="734">
        <v>15</v>
      </c>
      <c r="B193" s="732" t="s">
        <v>73</v>
      </c>
      <c r="C193" s="70" t="s">
        <v>500</v>
      </c>
      <c r="D193" s="51">
        <v>3750457.9000000004</v>
      </c>
      <c r="E193" s="70" t="s">
        <v>808</v>
      </c>
      <c r="F193" s="70" t="s">
        <v>684</v>
      </c>
      <c r="G193" s="148">
        <v>4209503.9960199147</v>
      </c>
      <c r="H193" s="50">
        <v>42610</v>
      </c>
      <c r="I193" s="50">
        <v>42619</v>
      </c>
      <c r="J193" s="51">
        <v>3750457.9000000004</v>
      </c>
    </row>
    <row r="194" spans="1:10" ht="33" outlineLevel="1" x14ac:dyDescent="0.25">
      <c r="A194" s="731"/>
      <c r="B194" s="733"/>
      <c r="C194" s="116" t="s">
        <v>37</v>
      </c>
      <c r="D194" s="59">
        <f>56107.63*1.18</f>
        <v>66207.003399999987</v>
      </c>
      <c r="E194" s="60" t="s">
        <v>555</v>
      </c>
      <c r="F194" s="60" t="s">
        <v>554</v>
      </c>
      <c r="G194" s="61">
        <f>56107.63*1.18</f>
        <v>66207.003399999987</v>
      </c>
      <c r="H194" s="62">
        <v>42429</v>
      </c>
      <c r="I194" s="62">
        <v>42383</v>
      </c>
      <c r="J194" s="63">
        <v>66207</v>
      </c>
    </row>
    <row r="195" spans="1:10" ht="17.25" outlineLevel="1" thickBot="1" x14ac:dyDescent="0.3">
      <c r="A195" s="686" t="s">
        <v>628</v>
      </c>
      <c r="B195" s="687"/>
      <c r="C195" s="156"/>
      <c r="D195" s="157">
        <f>SUM(D193:D194)</f>
        <v>3816664.9034000002</v>
      </c>
      <c r="E195" s="88"/>
      <c r="F195" s="88"/>
      <c r="G195" s="158">
        <f>SUM(G193:G194)</f>
        <v>4275710.9994199146</v>
      </c>
      <c r="H195" s="88"/>
      <c r="I195" s="130"/>
      <c r="J195" s="157">
        <f>SUM(J193:J194)</f>
        <v>3816664.9000000004</v>
      </c>
    </row>
    <row r="196" spans="1:10" s="4" customFormat="1" ht="30.75" customHeight="1" x14ac:dyDescent="0.25">
      <c r="A196" s="734">
        <v>16</v>
      </c>
      <c r="B196" s="732" t="s">
        <v>62</v>
      </c>
      <c r="C196" s="159" t="s">
        <v>501</v>
      </c>
      <c r="D196" s="160">
        <v>6020000</v>
      </c>
      <c r="E196" s="161" t="s">
        <v>1040</v>
      </c>
      <c r="F196" s="161" t="s">
        <v>684</v>
      </c>
      <c r="G196" s="162">
        <v>5018667.22</v>
      </c>
      <c r="H196" s="58">
        <v>42811</v>
      </c>
      <c r="I196" s="163"/>
      <c r="J196" s="82"/>
    </row>
    <row r="197" spans="1:10" ht="33" outlineLevel="1" x14ac:dyDescent="0.25">
      <c r="A197" s="731"/>
      <c r="B197" s="733"/>
      <c r="C197" s="150" t="s">
        <v>37</v>
      </c>
      <c r="D197" s="151">
        <f>65573.22*1.18</f>
        <v>77376.399600000004</v>
      </c>
      <c r="E197" s="152" t="s">
        <v>558</v>
      </c>
      <c r="F197" s="152" t="s">
        <v>548</v>
      </c>
      <c r="G197" s="153">
        <f>65573.22*1.18</f>
        <v>77376.399600000004</v>
      </c>
      <c r="H197" s="154">
        <v>42424</v>
      </c>
      <c r="I197" s="174" t="s">
        <v>892</v>
      </c>
      <c r="J197" s="155">
        <v>77376.399999999994</v>
      </c>
    </row>
    <row r="198" spans="1:10" ht="17.25" outlineLevel="1" thickBot="1" x14ac:dyDescent="0.3">
      <c r="A198" s="686" t="s">
        <v>628</v>
      </c>
      <c r="B198" s="687"/>
      <c r="C198" s="156"/>
      <c r="D198" s="157">
        <f>SUM(D196:D197)</f>
        <v>6097376.3996000001</v>
      </c>
      <c r="E198" s="88"/>
      <c r="F198" s="88"/>
      <c r="G198" s="158">
        <f>SUM(G196:G197)</f>
        <v>5096043.6195999999</v>
      </c>
      <c r="H198" s="88"/>
      <c r="I198" s="130"/>
      <c r="J198" s="157">
        <f>SUM(J196:J197)</f>
        <v>77376.399999999994</v>
      </c>
    </row>
    <row r="199" spans="1:10" s="4" customFormat="1" ht="29.25" customHeight="1" x14ac:dyDescent="0.25">
      <c r="A199" s="734">
        <v>17</v>
      </c>
      <c r="B199" s="732" t="s">
        <v>758</v>
      </c>
      <c r="C199" s="70" t="s">
        <v>500</v>
      </c>
      <c r="D199" s="51">
        <v>3066431.16</v>
      </c>
      <c r="E199" s="70" t="s">
        <v>720</v>
      </c>
      <c r="F199" s="70" t="s">
        <v>721</v>
      </c>
      <c r="G199" s="148">
        <v>3142709.23</v>
      </c>
      <c r="H199" s="50">
        <v>42502</v>
      </c>
      <c r="I199" s="50">
        <v>42500</v>
      </c>
      <c r="J199" s="51">
        <v>3066431.16</v>
      </c>
    </row>
    <row r="200" spans="1:10" ht="33" outlineLevel="1" x14ac:dyDescent="0.25">
      <c r="A200" s="731"/>
      <c r="B200" s="733"/>
      <c r="C200" s="150" t="s">
        <v>37</v>
      </c>
      <c r="D200" s="151">
        <f>86416.01*1.18</f>
        <v>101970.89179999998</v>
      </c>
      <c r="E200" s="152" t="s">
        <v>558</v>
      </c>
      <c r="F200" s="152" t="s">
        <v>548</v>
      </c>
      <c r="G200" s="153">
        <f>86416.01*1.18</f>
        <v>101970.89179999998</v>
      </c>
      <c r="H200" s="154">
        <v>42424</v>
      </c>
      <c r="I200" s="154">
        <v>42415</v>
      </c>
      <c r="J200" s="155">
        <v>101970.89</v>
      </c>
    </row>
    <row r="201" spans="1:10" ht="17.25" outlineLevel="1" thickBot="1" x14ac:dyDescent="0.3">
      <c r="A201" s="686" t="s">
        <v>628</v>
      </c>
      <c r="B201" s="687"/>
      <c r="C201" s="156"/>
      <c r="D201" s="157">
        <f>SUM(D199:D200)</f>
        <v>3168402.0518</v>
      </c>
      <c r="E201" s="88"/>
      <c r="F201" s="88"/>
      <c r="G201" s="158">
        <f>SUM(G199:G200)</f>
        <v>3244680.1217999998</v>
      </c>
      <c r="H201" s="88"/>
      <c r="I201" s="130"/>
      <c r="J201" s="157">
        <f>SUM(J199:J200)</f>
        <v>3168402.0500000003</v>
      </c>
    </row>
    <row r="202" spans="1:10" s="4" customFormat="1" ht="30.75" customHeight="1" x14ac:dyDescent="0.25">
      <c r="A202" s="734">
        <v>18</v>
      </c>
      <c r="B202" s="732" t="s">
        <v>759</v>
      </c>
      <c r="C202" s="70" t="s">
        <v>500</v>
      </c>
      <c r="D202" s="51">
        <v>3158402.19</v>
      </c>
      <c r="E202" s="70" t="s">
        <v>720</v>
      </c>
      <c r="F202" s="70" t="s">
        <v>721</v>
      </c>
      <c r="G202" s="148">
        <v>3251584.7</v>
      </c>
      <c r="H202" s="50">
        <v>42502</v>
      </c>
      <c r="I202" s="50">
        <v>42500</v>
      </c>
      <c r="J202" s="51">
        <v>3158402.19</v>
      </c>
    </row>
    <row r="203" spans="1:10" ht="33" outlineLevel="1" x14ac:dyDescent="0.25">
      <c r="A203" s="731"/>
      <c r="B203" s="733"/>
      <c r="C203" s="150" t="s">
        <v>37</v>
      </c>
      <c r="D203" s="151">
        <f>86416.01*1.18</f>
        <v>101970.89179999998</v>
      </c>
      <c r="E203" s="152" t="s">
        <v>558</v>
      </c>
      <c r="F203" s="152" t="s">
        <v>548</v>
      </c>
      <c r="G203" s="153">
        <f>86416.01*1.18</f>
        <v>101970.89179999998</v>
      </c>
      <c r="H203" s="154">
        <v>42424</v>
      </c>
      <c r="I203" s="154">
        <v>42415</v>
      </c>
      <c r="J203" s="155">
        <v>101970.89</v>
      </c>
    </row>
    <row r="204" spans="1:10" ht="17.25" outlineLevel="1" thickBot="1" x14ac:dyDescent="0.3">
      <c r="A204" s="724" t="s">
        <v>628</v>
      </c>
      <c r="B204" s="725"/>
      <c r="C204" s="164"/>
      <c r="D204" s="165">
        <f>SUM(D202:D203)</f>
        <v>3260373.0817999998</v>
      </c>
      <c r="E204" s="90"/>
      <c r="F204" s="90"/>
      <c r="G204" s="166">
        <f>SUM(G202:G203)</f>
        <v>3353555.5918000001</v>
      </c>
      <c r="H204" s="90"/>
      <c r="I204" s="108"/>
      <c r="J204" s="165">
        <f>SUM(J202:J203)</f>
        <v>3260373.08</v>
      </c>
    </row>
    <row r="205" spans="1:10" s="22" customFormat="1" ht="36.75" customHeight="1" x14ac:dyDescent="0.25">
      <c r="A205" s="734">
        <v>19</v>
      </c>
      <c r="B205" s="732" t="s">
        <v>74</v>
      </c>
      <c r="C205" s="70" t="s">
        <v>500</v>
      </c>
      <c r="D205" s="51">
        <v>4077258.54</v>
      </c>
      <c r="E205" s="70" t="s">
        <v>808</v>
      </c>
      <c r="F205" s="70" t="s">
        <v>684</v>
      </c>
      <c r="G205" s="148">
        <v>4185890.17</v>
      </c>
      <c r="H205" s="50">
        <v>42595</v>
      </c>
      <c r="I205" s="50">
        <v>42608</v>
      </c>
      <c r="J205" s="51">
        <v>4077258.54</v>
      </c>
    </row>
    <row r="206" spans="1:10" ht="33" outlineLevel="1" x14ac:dyDescent="0.25">
      <c r="A206" s="731"/>
      <c r="B206" s="733"/>
      <c r="C206" s="116" t="s">
        <v>37</v>
      </c>
      <c r="D206" s="59">
        <f>55564.45*1.18</f>
        <v>65566.050999999992</v>
      </c>
      <c r="E206" s="60" t="s">
        <v>555</v>
      </c>
      <c r="F206" s="60" t="s">
        <v>554</v>
      </c>
      <c r="G206" s="61">
        <f>55564.45*1.18</f>
        <v>65566.050999999992</v>
      </c>
      <c r="H206" s="62">
        <v>42429</v>
      </c>
      <c r="I206" s="62">
        <v>42383</v>
      </c>
      <c r="J206" s="63">
        <v>65566.05</v>
      </c>
    </row>
    <row r="207" spans="1:10" ht="17.25" outlineLevel="1" thickBot="1" x14ac:dyDescent="0.3">
      <c r="A207" s="686" t="s">
        <v>628</v>
      </c>
      <c r="B207" s="687"/>
      <c r="C207" s="156"/>
      <c r="D207" s="157">
        <f>SUM(D205:D206)</f>
        <v>4142824.591</v>
      </c>
      <c r="E207" s="88"/>
      <c r="F207" s="88"/>
      <c r="G207" s="158">
        <f>SUM(G205:G206)</f>
        <v>4251456.2209999999</v>
      </c>
      <c r="H207" s="88"/>
      <c r="I207" s="130"/>
      <c r="J207" s="157">
        <f>SUM(J205:J206)</f>
        <v>4142824.59</v>
      </c>
    </row>
    <row r="208" spans="1:10" s="4" customFormat="1" ht="33" customHeight="1" x14ac:dyDescent="0.25">
      <c r="A208" s="734">
        <v>20</v>
      </c>
      <c r="B208" s="732" t="s">
        <v>63</v>
      </c>
      <c r="C208" s="70" t="s">
        <v>500</v>
      </c>
      <c r="D208" s="51">
        <v>2368705.4700000002</v>
      </c>
      <c r="E208" s="70" t="s">
        <v>808</v>
      </c>
      <c r="F208" s="70" t="s">
        <v>684</v>
      </c>
      <c r="G208" s="148">
        <v>2369347.81</v>
      </c>
      <c r="H208" s="50">
        <v>42576</v>
      </c>
      <c r="I208" s="50">
        <v>42577</v>
      </c>
      <c r="J208" s="51">
        <v>2368705.4700000002</v>
      </c>
    </row>
    <row r="209" spans="1:10" ht="33" outlineLevel="1" x14ac:dyDescent="0.25">
      <c r="A209" s="731"/>
      <c r="B209" s="733"/>
      <c r="C209" s="116" t="s">
        <v>37</v>
      </c>
      <c r="D209" s="59">
        <f>62822.23*1.18</f>
        <v>74130.231400000004</v>
      </c>
      <c r="E209" s="60" t="s">
        <v>555</v>
      </c>
      <c r="F209" s="60" t="s">
        <v>554</v>
      </c>
      <c r="G209" s="61">
        <f>62822.23*1.18</f>
        <v>74130.231400000004</v>
      </c>
      <c r="H209" s="62">
        <v>42429</v>
      </c>
      <c r="I209" s="62">
        <v>42383</v>
      </c>
      <c r="J209" s="63">
        <v>74130.23</v>
      </c>
    </row>
    <row r="210" spans="1:10" ht="17.25" outlineLevel="1" thickBot="1" x14ac:dyDescent="0.3">
      <c r="A210" s="686" t="s">
        <v>628</v>
      </c>
      <c r="B210" s="687"/>
      <c r="C210" s="156"/>
      <c r="D210" s="157">
        <f>SUM(D208:D209)</f>
        <v>2442835.7014000001</v>
      </c>
      <c r="E210" s="88"/>
      <c r="F210" s="88"/>
      <c r="G210" s="158">
        <f>SUM(G208:G209)</f>
        <v>2443478.0414</v>
      </c>
      <c r="H210" s="88"/>
      <c r="I210" s="130"/>
      <c r="J210" s="157">
        <f>SUM(J208:J209)</f>
        <v>2442835.7000000002</v>
      </c>
    </row>
    <row r="211" spans="1:10" s="4" customFormat="1" ht="36" customHeight="1" x14ac:dyDescent="0.25">
      <c r="A211" s="734">
        <v>21</v>
      </c>
      <c r="B211" s="732" t="s">
        <v>75</v>
      </c>
      <c r="C211" s="70" t="s">
        <v>500</v>
      </c>
      <c r="D211" s="51">
        <v>4131671.88</v>
      </c>
      <c r="E211" s="70" t="s">
        <v>808</v>
      </c>
      <c r="F211" s="70" t="s">
        <v>684</v>
      </c>
      <c r="G211" s="148">
        <v>4140433.62</v>
      </c>
      <c r="H211" s="50">
        <v>42569</v>
      </c>
      <c r="I211" s="50">
        <v>42563</v>
      </c>
      <c r="J211" s="51">
        <v>4131671.88</v>
      </c>
    </row>
    <row r="212" spans="1:10" ht="33" outlineLevel="1" x14ac:dyDescent="0.25">
      <c r="A212" s="731"/>
      <c r="B212" s="733"/>
      <c r="C212" s="116" t="s">
        <v>37</v>
      </c>
      <c r="D212" s="59">
        <f>55232.08*1.18</f>
        <v>65173.854399999997</v>
      </c>
      <c r="E212" s="60" t="s">
        <v>555</v>
      </c>
      <c r="F212" s="60" t="s">
        <v>554</v>
      </c>
      <c r="G212" s="61">
        <f>55232.08*1.18</f>
        <v>65173.854399999997</v>
      </c>
      <c r="H212" s="62">
        <v>42429</v>
      </c>
      <c r="I212" s="62">
        <v>42383</v>
      </c>
      <c r="J212" s="63">
        <v>65173.849999999991</v>
      </c>
    </row>
    <row r="213" spans="1:10" ht="17.25" outlineLevel="1" thickBot="1" x14ac:dyDescent="0.3">
      <c r="A213" s="724" t="s">
        <v>628</v>
      </c>
      <c r="B213" s="725"/>
      <c r="C213" s="164"/>
      <c r="D213" s="165">
        <f>SUM(D211:D212)</f>
        <v>4196845.7343999995</v>
      </c>
      <c r="E213" s="90"/>
      <c r="F213" s="90"/>
      <c r="G213" s="166">
        <f>SUM(G211:G212)</f>
        <v>4205607.4743999997</v>
      </c>
      <c r="H213" s="90"/>
      <c r="I213" s="108"/>
      <c r="J213" s="165">
        <f>SUM(J211:J212)</f>
        <v>4196845.7299999995</v>
      </c>
    </row>
    <row r="214" spans="1:10" s="4" customFormat="1" ht="32.25" customHeight="1" x14ac:dyDescent="0.25">
      <c r="A214" s="734">
        <v>22</v>
      </c>
      <c r="B214" s="732" t="s">
        <v>76</v>
      </c>
      <c r="C214" s="70" t="s">
        <v>500</v>
      </c>
      <c r="D214" s="51">
        <v>4451206.21</v>
      </c>
      <c r="E214" s="70" t="s">
        <v>808</v>
      </c>
      <c r="F214" s="70" t="s">
        <v>684</v>
      </c>
      <c r="G214" s="148">
        <v>4204911.3</v>
      </c>
      <c r="H214" s="50">
        <v>42610</v>
      </c>
      <c r="I214" s="50">
        <v>42548</v>
      </c>
      <c r="J214" s="51">
        <v>4451206.21</v>
      </c>
    </row>
    <row r="215" spans="1:10" ht="33" outlineLevel="1" x14ac:dyDescent="0.25">
      <c r="A215" s="731"/>
      <c r="B215" s="733"/>
      <c r="C215" s="116" t="s">
        <v>37</v>
      </c>
      <c r="D215" s="59">
        <f>53984.48*1.18</f>
        <v>63701.686399999999</v>
      </c>
      <c r="E215" s="60" t="s">
        <v>555</v>
      </c>
      <c r="F215" s="60" t="s">
        <v>554</v>
      </c>
      <c r="G215" s="61">
        <f>53984.48*1.18</f>
        <v>63701.686399999999</v>
      </c>
      <c r="H215" s="62">
        <v>42429</v>
      </c>
      <c r="I215" s="62">
        <v>42383</v>
      </c>
      <c r="J215" s="63">
        <v>63701.69</v>
      </c>
    </row>
    <row r="216" spans="1:10" ht="17.25" outlineLevel="1" thickBot="1" x14ac:dyDescent="0.3">
      <c r="A216" s="724" t="s">
        <v>628</v>
      </c>
      <c r="B216" s="725"/>
      <c r="C216" s="164"/>
      <c r="D216" s="165">
        <f>SUM(D214:D215)</f>
        <v>4514907.8964</v>
      </c>
      <c r="E216" s="90"/>
      <c r="F216" s="90"/>
      <c r="G216" s="166">
        <f>SUM(G214:G215)</f>
        <v>4268612.9863999998</v>
      </c>
      <c r="H216" s="90"/>
      <c r="I216" s="108"/>
      <c r="J216" s="165">
        <f>SUM(J214:J215)</f>
        <v>4514907.9000000004</v>
      </c>
    </row>
    <row r="217" spans="1:10" ht="33" outlineLevel="1" x14ac:dyDescent="0.25">
      <c r="A217" s="175">
        <v>23</v>
      </c>
      <c r="B217" s="176" t="s">
        <v>984</v>
      </c>
      <c r="C217" s="70" t="s">
        <v>500</v>
      </c>
      <c r="D217" s="51">
        <v>4335541.6900000004</v>
      </c>
      <c r="E217" s="70" t="s">
        <v>985</v>
      </c>
      <c r="F217" s="70" t="s">
        <v>986</v>
      </c>
      <c r="G217" s="51">
        <v>4358000</v>
      </c>
      <c r="H217" s="50">
        <v>42680</v>
      </c>
      <c r="I217" s="50">
        <v>42669</v>
      </c>
      <c r="J217" s="51">
        <v>4335541.6900000004</v>
      </c>
    </row>
    <row r="218" spans="1:10" ht="18" customHeight="1" outlineLevel="1" thickBot="1" x14ac:dyDescent="0.3">
      <c r="A218" s="820" t="s">
        <v>628</v>
      </c>
      <c r="B218" s="821"/>
      <c r="C218" s="156"/>
      <c r="D218" s="157">
        <f>SUM(D217:D217)</f>
        <v>4335541.6900000004</v>
      </c>
      <c r="E218" s="88"/>
      <c r="F218" s="88"/>
      <c r="G218" s="157">
        <f>G217</f>
        <v>4358000</v>
      </c>
      <c r="H218" s="88"/>
      <c r="I218" s="130"/>
      <c r="J218" s="165">
        <f>SUM(J217:J217)</f>
        <v>4335541.6900000004</v>
      </c>
    </row>
    <row r="219" spans="1:10" s="4" customFormat="1" ht="30" customHeight="1" x14ac:dyDescent="0.25">
      <c r="A219" s="730">
        <v>23</v>
      </c>
      <c r="B219" s="735" t="s">
        <v>499</v>
      </c>
      <c r="C219" s="178" t="s">
        <v>501</v>
      </c>
      <c r="D219" s="179">
        <v>8415000</v>
      </c>
      <c r="E219" s="161" t="s">
        <v>1040</v>
      </c>
      <c r="F219" s="161" t="s">
        <v>684</v>
      </c>
      <c r="G219" s="162">
        <v>6415465.46</v>
      </c>
      <c r="H219" s="58">
        <v>42811</v>
      </c>
      <c r="I219" s="180"/>
      <c r="J219" s="82"/>
    </row>
    <row r="220" spans="1:10" ht="33" outlineLevel="1" x14ac:dyDescent="0.25">
      <c r="A220" s="731"/>
      <c r="B220" s="733"/>
      <c r="C220" s="150" t="s">
        <v>37</v>
      </c>
      <c r="D220" s="151">
        <f>78321.78*1.18</f>
        <v>92419.700399999987</v>
      </c>
      <c r="E220" s="152" t="s">
        <v>558</v>
      </c>
      <c r="F220" s="152" t="s">
        <v>548</v>
      </c>
      <c r="G220" s="153">
        <f>78321.78*1.18</f>
        <v>92419.700399999987</v>
      </c>
      <c r="H220" s="154">
        <v>42424</v>
      </c>
      <c r="I220" s="154">
        <v>42415</v>
      </c>
      <c r="J220" s="155">
        <v>92419.7</v>
      </c>
    </row>
    <row r="221" spans="1:10" ht="17.25" outlineLevel="1" thickBot="1" x14ac:dyDescent="0.3">
      <c r="A221" s="724" t="s">
        <v>628</v>
      </c>
      <c r="B221" s="725"/>
      <c r="C221" s="164"/>
      <c r="D221" s="165">
        <f>SUM(D219:D220)</f>
        <v>8507419.7004000004</v>
      </c>
      <c r="E221" s="90"/>
      <c r="F221" s="90"/>
      <c r="G221" s="166">
        <f>SUM(G219:G220)</f>
        <v>6507885.1604000004</v>
      </c>
      <c r="H221" s="90"/>
      <c r="I221" s="108"/>
      <c r="J221" s="165">
        <f>SUM(J219:J220)</f>
        <v>92419.7</v>
      </c>
    </row>
    <row r="222" spans="1:10" s="7" customFormat="1" ht="19.5" customHeight="1" outlineLevel="1" x14ac:dyDescent="0.25">
      <c r="A222" s="182"/>
      <c r="B222" s="872" t="s">
        <v>1008</v>
      </c>
      <c r="C222" s="872"/>
      <c r="D222" s="183">
        <v>2269290.08</v>
      </c>
      <c r="E222" s="184"/>
      <c r="F222" s="82"/>
      <c r="G222" s="183">
        <f>SUM(G223:G230)</f>
        <v>2269290.08</v>
      </c>
      <c r="H222" s="83"/>
      <c r="I222" s="163"/>
      <c r="J222" s="183">
        <f>SUM(J223:J230)</f>
        <v>1923127.1900000002</v>
      </c>
    </row>
    <row r="223" spans="1:10" s="14" customFormat="1" ht="33" outlineLevel="1" x14ac:dyDescent="0.25">
      <c r="A223" s="185"/>
      <c r="B223" s="139" t="s">
        <v>1292</v>
      </c>
      <c r="C223" s="91" t="s">
        <v>37</v>
      </c>
      <c r="D223" s="186"/>
      <c r="E223" s="712" t="s">
        <v>1296</v>
      </c>
      <c r="F223" s="693" t="s">
        <v>1208</v>
      </c>
      <c r="G223" s="73">
        <v>150984.85999999999</v>
      </c>
      <c r="H223" s="816">
        <v>42719</v>
      </c>
      <c r="I223" s="75">
        <v>42719</v>
      </c>
      <c r="J223" s="73">
        <v>127953.27</v>
      </c>
    </row>
    <row r="224" spans="1:10" s="14" customFormat="1" ht="32.25" customHeight="1" outlineLevel="1" x14ac:dyDescent="0.25">
      <c r="A224" s="185"/>
      <c r="B224" s="139" t="s">
        <v>71</v>
      </c>
      <c r="C224" s="91" t="s">
        <v>37</v>
      </c>
      <c r="D224" s="186"/>
      <c r="E224" s="712"/>
      <c r="F224" s="693"/>
      <c r="G224" s="73">
        <v>261947.62</v>
      </c>
      <c r="H224" s="816"/>
      <c r="I224" s="75">
        <v>42719</v>
      </c>
      <c r="J224" s="73">
        <v>221989.51</v>
      </c>
    </row>
    <row r="225" spans="1:10" s="14" customFormat="1" ht="32.25" customHeight="1" outlineLevel="1" x14ac:dyDescent="0.25">
      <c r="A225" s="185"/>
      <c r="B225" s="139" t="s">
        <v>758</v>
      </c>
      <c r="C225" s="91" t="s">
        <v>37</v>
      </c>
      <c r="D225" s="186"/>
      <c r="E225" s="712"/>
      <c r="F225" s="693"/>
      <c r="G225" s="73">
        <v>351086.66</v>
      </c>
      <c r="H225" s="816"/>
      <c r="I225" s="75">
        <v>42719</v>
      </c>
      <c r="J225" s="73">
        <v>297531.07</v>
      </c>
    </row>
    <row r="226" spans="1:10" s="14" customFormat="1" ht="31.5" customHeight="1" outlineLevel="1" x14ac:dyDescent="0.25">
      <c r="A226" s="185"/>
      <c r="B226" s="139" t="s">
        <v>1293</v>
      </c>
      <c r="C226" s="91" t="s">
        <v>37</v>
      </c>
      <c r="D226" s="186"/>
      <c r="E226" s="712"/>
      <c r="F226" s="693"/>
      <c r="G226" s="73">
        <v>432173.14</v>
      </c>
      <c r="H226" s="816"/>
      <c r="I226" s="75">
        <v>42719</v>
      </c>
      <c r="J226" s="73">
        <v>366248.42</v>
      </c>
    </row>
    <row r="227" spans="1:10" s="14" customFormat="1" ht="29.25" customHeight="1" outlineLevel="1" x14ac:dyDescent="0.25">
      <c r="A227" s="185"/>
      <c r="B227" s="139" t="s">
        <v>759</v>
      </c>
      <c r="C227" s="91" t="s">
        <v>37</v>
      </c>
      <c r="D227" s="186"/>
      <c r="E227" s="712"/>
      <c r="F227" s="693"/>
      <c r="G227" s="73">
        <v>349097.5</v>
      </c>
      <c r="H227" s="816"/>
      <c r="I227" s="75">
        <v>42719</v>
      </c>
      <c r="J227" s="73">
        <v>295845.34000000003</v>
      </c>
    </row>
    <row r="228" spans="1:10" s="14" customFormat="1" ht="33.75" customHeight="1" outlineLevel="1" x14ac:dyDescent="0.25">
      <c r="A228" s="185"/>
      <c r="B228" s="139" t="s">
        <v>1294</v>
      </c>
      <c r="C228" s="91" t="s">
        <v>37</v>
      </c>
      <c r="D228" s="186"/>
      <c r="E228" s="712"/>
      <c r="F228" s="693"/>
      <c r="G228" s="73">
        <v>340116.34</v>
      </c>
      <c r="H228" s="816"/>
      <c r="I228" s="75">
        <v>42719</v>
      </c>
      <c r="J228" s="73">
        <v>288234.19</v>
      </c>
    </row>
    <row r="229" spans="1:10" s="14" customFormat="1" ht="24" customHeight="1" outlineLevel="1" x14ac:dyDescent="0.25">
      <c r="A229" s="185"/>
      <c r="B229" s="139" t="s">
        <v>1295</v>
      </c>
      <c r="C229" s="91" t="s">
        <v>37</v>
      </c>
      <c r="D229" s="186"/>
      <c r="E229" s="712"/>
      <c r="F229" s="693"/>
      <c r="G229" s="73">
        <v>328744.61</v>
      </c>
      <c r="H229" s="816"/>
      <c r="I229" s="75">
        <v>42719</v>
      </c>
      <c r="J229" s="73">
        <v>278597.13</v>
      </c>
    </row>
    <row r="230" spans="1:10" s="14" customFormat="1" ht="19.5" customHeight="1" outlineLevel="1" thickBot="1" x14ac:dyDescent="0.3">
      <c r="A230" s="187"/>
      <c r="B230" s="188" t="s">
        <v>58</v>
      </c>
      <c r="C230" s="95" t="s">
        <v>37</v>
      </c>
      <c r="D230" s="189"/>
      <c r="E230" s="717"/>
      <c r="F230" s="695"/>
      <c r="G230" s="93">
        <v>55139.35</v>
      </c>
      <c r="H230" s="817"/>
      <c r="I230" s="75">
        <v>42719</v>
      </c>
      <c r="J230" s="93">
        <v>46728.26</v>
      </c>
    </row>
    <row r="231" spans="1:10" ht="17.25" outlineLevel="1" thickBot="1" x14ac:dyDescent="0.3">
      <c r="A231" s="726" t="s">
        <v>629</v>
      </c>
      <c r="B231" s="727"/>
      <c r="C231" s="145"/>
      <c r="D231" s="190">
        <f>SUM(D221,D216,D213,D210,D207,D204,D201,D198,D195,D192,D189,D186,D183,D180,D177,D173,D170,D167,D164,D161,D158,D155,D152,D218,D222)</f>
        <v>105100867.8186</v>
      </c>
      <c r="E231" s="191"/>
      <c r="F231" s="145"/>
      <c r="G231" s="190">
        <f>SUM(G218,G221,G216,G213,G210,G207,G204,G201,G198,G195,G192,G189,G186,G183,G180,G177,G173,G170,G167,G164,G161,G158,G155,G152,G222)</f>
        <v>101164055.16641989</v>
      </c>
      <c r="H231" s="145"/>
      <c r="I231" s="146"/>
      <c r="J231" s="190">
        <f>SUM(J221,J216,J218,J213,J210,J207,J204,J201,J198,J195,J192,J189,J186,J183,J180,J177,J173,J170,J167,J164,J161,J158,J155,J152,J222)</f>
        <v>85094419.49000001</v>
      </c>
    </row>
    <row r="232" spans="1:10" s="11" customFormat="1" ht="19.5" customHeight="1" thickBot="1" x14ac:dyDescent="0.3">
      <c r="A232" s="747" t="s">
        <v>632</v>
      </c>
      <c r="B232" s="748"/>
      <c r="C232" s="748"/>
      <c r="D232" s="748"/>
      <c r="E232" s="748"/>
      <c r="F232" s="748"/>
      <c r="G232" s="748"/>
      <c r="H232" s="748"/>
      <c r="I232" s="748"/>
      <c r="J232" s="748"/>
    </row>
    <row r="233" spans="1:10" s="11" customFormat="1" ht="30" customHeight="1" x14ac:dyDescent="0.25">
      <c r="A233" s="822">
        <v>1</v>
      </c>
      <c r="B233" s="824" t="s">
        <v>77</v>
      </c>
      <c r="C233" s="51" t="s">
        <v>38</v>
      </c>
      <c r="D233" s="51">
        <v>687775.98</v>
      </c>
      <c r="E233" s="690" t="s">
        <v>834</v>
      </c>
      <c r="F233" s="690" t="s">
        <v>835</v>
      </c>
      <c r="G233" s="148">
        <v>742545.68</v>
      </c>
      <c r="H233" s="50">
        <v>42580</v>
      </c>
      <c r="I233" s="72">
        <v>42591</v>
      </c>
      <c r="J233" s="51">
        <v>687775.98</v>
      </c>
    </row>
    <row r="234" spans="1:10" s="12" customFormat="1" ht="30" customHeight="1" outlineLevel="1" x14ac:dyDescent="0.25">
      <c r="A234" s="823"/>
      <c r="B234" s="825"/>
      <c r="C234" s="91" t="s">
        <v>35</v>
      </c>
      <c r="D234" s="52">
        <v>239767.74</v>
      </c>
      <c r="E234" s="681"/>
      <c r="F234" s="681"/>
      <c r="G234" s="149">
        <v>273715.15999999997</v>
      </c>
      <c r="H234" s="75">
        <v>42573</v>
      </c>
      <c r="I234" s="193">
        <v>42591</v>
      </c>
      <c r="J234" s="52">
        <v>239767.74</v>
      </c>
    </row>
    <row r="235" spans="1:10" s="12" customFormat="1" ht="30" customHeight="1" outlineLevel="1" x14ac:dyDescent="0.25">
      <c r="A235" s="823"/>
      <c r="B235" s="825"/>
      <c r="C235" s="52" t="s">
        <v>36</v>
      </c>
      <c r="D235" s="52">
        <v>293233.53999999998</v>
      </c>
      <c r="E235" s="681"/>
      <c r="F235" s="681"/>
      <c r="G235" s="149">
        <v>335167.2</v>
      </c>
      <c r="H235" s="75">
        <v>42566</v>
      </c>
      <c r="I235" s="193">
        <v>42591</v>
      </c>
      <c r="J235" s="52">
        <v>293233.53999999998</v>
      </c>
    </row>
    <row r="236" spans="1:10" s="12" customFormat="1" ht="30" customHeight="1" outlineLevel="1" x14ac:dyDescent="0.25">
      <c r="A236" s="823"/>
      <c r="B236" s="825"/>
      <c r="C236" s="52" t="s">
        <v>500</v>
      </c>
      <c r="D236" s="52">
        <v>2623536.48</v>
      </c>
      <c r="E236" s="682"/>
      <c r="F236" s="682"/>
      <c r="G236" s="149">
        <v>4209406.92</v>
      </c>
      <c r="H236" s="76">
        <v>42580</v>
      </c>
      <c r="I236" s="75">
        <v>42591</v>
      </c>
      <c r="J236" s="52">
        <v>2623536.48</v>
      </c>
    </row>
    <row r="237" spans="1:10" s="24" customFormat="1" ht="33" outlineLevel="1" x14ac:dyDescent="0.25">
      <c r="A237" s="823"/>
      <c r="B237" s="825"/>
      <c r="C237" s="568" t="s">
        <v>501</v>
      </c>
      <c r="D237" s="568">
        <v>6966412.0199999996</v>
      </c>
      <c r="E237" s="570" t="s">
        <v>1001</v>
      </c>
      <c r="F237" s="570" t="s">
        <v>897</v>
      </c>
      <c r="G237" s="149">
        <v>6966412.0199999996</v>
      </c>
      <c r="H237" s="569">
        <v>42776</v>
      </c>
      <c r="I237" s="569">
        <v>42493</v>
      </c>
      <c r="J237" s="568">
        <v>6306440.9699999997</v>
      </c>
    </row>
    <row r="238" spans="1:10" s="12" customFormat="1" ht="33" outlineLevel="1" x14ac:dyDescent="0.25">
      <c r="A238" s="823"/>
      <c r="B238" s="825"/>
      <c r="C238" s="150" t="s">
        <v>37</v>
      </c>
      <c r="D238" s="151">
        <v>323331.56</v>
      </c>
      <c r="E238" s="152" t="s">
        <v>545</v>
      </c>
      <c r="F238" s="152" t="s">
        <v>541</v>
      </c>
      <c r="G238" s="153">
        <v>323331.56</v>
      </c>
      <c r="H238" s="154">
        <v>42363</v>
      </c>
      <c r="I238" s="154">
        <v>42426</v>
      </c>
      <c r="J238" s="155">
        <v>323331.56</v>
      </c>
    </row>
    <row r="239" spans="1:10" s="12" customFormat="1" ht="17.25" outlineLevel="1" thickBot="1" x14ac:dyDescent="0.3">
      <c r="A239" s="818" t="s">
        <v>628</v>
      </c>
      <c r="B239" s="819"/>
      <c r="C239" s="88"/>
      <c r="D239" s="68">
        <f>SUM(D233:D238)</f>
        <v>11134057.32</v>
      </c>
      <c r="E239" s="88"/>
      <c r="F239" s="88"/>
      <c r="G239" s="195">
        <f>SUM(G233:G238)</f>
        <v>12850578.540000001</v>
      </c>
      <c r="H239" s="88"/>
      <c r="I239" s="130"/>
      <c r="J239" s="68">
        <f>SUM(J233:J238)</f>
        <v>10474086.270000001</v>
      </c>
    </row>
    <row r="240" spans="1:10" s="7" customFormat="1" ht="19.5" customHeight="1" outlineLevel="1" thickBot="1" x14ac:dyDescent="0.3">
      <c r="A240" s="196"/>
      <c r="B240" s="783" t="s">
        <v>1008</v>
      </c>
      <c r="C240" s="784"/>
      <c r="D240" s="197">
        <v>330000</v>
      </c>
      <c r="E240" s="198"/>
      <c r="F240" s="199"/>
      <c r="G240" s="200"/>
      <c r="H240" s="201"/>
      <c r="I240" s="202"/>
      <c r="J240" s="197"/>
    </row>
    <row r="241" spans="1:10" s="4" customFormat="1" ht="17.25" thickBot="1" x14ac:dyDescent="0.3">
      <c r="A241" s="738" t="s">
        <v>629</v>
      </c>
      <c r="B241" s="739"/>
      <c r="C241" s="203"/>
      <c r="D241" s="204">
        <f>D239+D240</f>
        <v>11464057.32</v>
      </c>
      <c r="E241" s="44"/>
      <c r="F241" s="44"/>
      <c r="G241" s="204">
        <f>G239</f>
        <v>12850578.540000001</v>
      </c>
      <c r="H241" s="44"/>
      <c r="I241" s="205"/>
      <c r="J241" s="204">
        <f t="shared" ref="J241" si="0">J239</f>
        <v>10474086.270000001</v>
      </c>
    </row>
    <row r="242" spans="1:10" s="4" customFormat="1" ht="28.5" customHeight="1" thickBot="1" x14ac:dyDescent="0.3">
      <c r="A242" s="772" t="s">
        <v>633</v>
      </c>
      <c r="B242" s="773"/>
      <c r="C242" s="773"/>
      <c r="D242" s="773"/>
      <c r="E242" s="773"/>
      <c r="F242" s="773"/>
      <c r="G242" s="773"/>
      <c r="H242" s="773"/>
      <c r="I242" s="773"/>
      <c r="J242" s="773"/>
    </row>
    <row r="243" spans="1:10" s="5" customFormat="1" ht="30" customHeight="1" x14ac:dyDescent="0.25">
      <c r="A243" s="718">
        <v>1</v>
      </c>
      <c r="B243" s="723" t="s">
        <v>78</v>
      </c>
      <c r="C243" s="51" t="s">
        <v>500</v>
      </c>
      <c r="D243" s="51">
        <v>9800000</v>
      </c>
      <c r="E243" s="70" t="s">
        <v>879</v>
      </c>
      <c r="F243" s="70" t="s">
        <v>823</v>
      </c>
      <c r="G243" s="148">
        <v>8900000</v>
      </c>
      <c r="H243" s="50">
        <v>42643</v>
      </c>
      <c r="I243" s="50">
        <v>42699</v>
      </c>
      <c r="J243" s="51">
        <v>9106616.9600000009</v>
      </c>
    </row>
    <row r="244" spans="1:10" s="7" customFormat="1" ht="33" outlineLevel="1" x14ac:dyDescent="0.25">
      <c r="A244" s="719"/>
      <c r="B244" s="721"/>
      <c r="C244" s="150" t="s">
        <v>37</v>
      </c>
      <c r="D244" s="151">
        <v>76916.899999999994</v>
      </c>
      <c r="E244" s="152" t="s">
        <v>538</v>
      </c>
      <c r="F244" s="152" t="s">
        <v>539</v>
      </c>
      <c r="G244" s="153">
        <v>76916.899999999994</v>
      </c>
      <c r="H244" s="154">
        <v>42348</v>
      </c>
      <c r="I244" s="154">
        <v>42627</v>
      </c>
      <c r="J244" s="155">
        <v>76916.91</v>
      </c>
    </row>
    <row r="245" spans="1:10" s="7" customFormat="1" ht="17.25" outlineLevel="1" thickBot="1" x14ac:dyDescent="0.3">
      <c r="A245" s="686" t="s">
        <v>628</v>
      </c>
      <c r="B245" s="687"/>
      <c r="C245" s="206"/>
      <c r="D245" s="157">
        <f>SUM(D243:D244)</f>
        <v>9876916.9000000004</v>
      </c>
      <c r="E245" s="88"/>
      <c r="F245" s="88"/>
      <c r="G245" s="158">
        <f>SUM(G243:G244)</f>
        <v>8976916.9000000004</v>
      </c>
      <c r="H245" s="88"/>
      <c r="I245" s="130"/>
      <c r="J245" s="157">
        <f>SUM(J243:J244)</f>
        <v>9183533.870000001</v>
      </c>
    </row>
    <row r="246" spans="1:10" s="25" customFormat="1" ht="27.75" customHeight="1" x14ac:dyDescent="0.25">
      <c r="A246" s="718">
        <v>2</v>
      </c>
      <c r="B246" s="723" t="s">
        <v>79</v>
      </c>
      <c r="C246" s="51" t="s">
        <v>500</v>
      </c>
      <c r="D246" s="51">
        <v>3522658.58</v>
      </c>
      <c r="E246" s="70" t="s">
        <v>866</v>
      </c>
      <c r="F246" s="70" t="s">
        <v>867</v>
      </c>
      <c r="G246" s="148">
        <v>4169149</v>
      </c>
      <c r="H246" s="50">
        <v>42618</v>
      </c>
      <c r="I246" s="50">
        <v>42660</v>
      </c>
      <c r="J246" s="51">
        <v>3522658.58</v>
      </c>
    </row>
    <row r="247" spans="1:10" s="7" customFormat="1" ht="33" outlineLevel="1" x14ac:dyDescent="0.25">
      <c r="A247" s="719"/>
      <c r="B247" s="721"/>
      <c r="C247" s="150" t="s">
        <v>37</v>
      </c>
      <c r="D247" s="151">
        <v>75375.92</v>
      </c>
      <c r="E247" s="152" t="s">
        <v>538</v>
      </c>
      <c r="F247" s="152" t="s">
        <v>539</v>
      </c>
      <c r="G247" s="153">
        <v>75375.92</v>
      </c>
      <c r="H247" s="154">
        <v>42348</v>
      </c>
      <c r="I247" s="154">
        <v>42627</v>
      </c>
      <c r="J247" s="155">
        <v>75375.92</v>
      </c>
    </row>
    <row r="248" spans="1:10" s="7" customFormat="1" ht="17.25" outlineLevel="1" thickBot="1" x14ac:dyDescent="0.3">
      <c r="A248" s="686" t="s">
        <v>628</v>
      </c>
      <c r="B248" s="687"/>
      <c r="C248" s="206"/>
      <c r="D248" s="157">
        <f>SUM(D246:D247)</f>
        <v>3598034.5</v>
      </c>
      <c r="E248" s="65"/>
      <c r="F248" s="65"/>
      <c r="G248" s="158">
        <f>SUM(G246:G247)</f>
        <v>4244524.92</v>
      </c>
      <c r="H248" s="65"/>
      <c r="I248" s="67"/>
      <c r="J248" s="157">
        <f>SUM(J246:J247)</f>
        <v>3598034.5</v>
      </c>
    </row>
    <row r="249" spans="1:10" s="25" customFormat="1" ht="33" x14ac:dyDescent="0.25">
      <c r="A249" s="718">
        <v>3</v>
      </c>
      <c r="B249" s="723" t="s">
        <v>502</v>
      </c>
      <c r="C249" s="51" t="s">
        <v>500</v>
      </c>
      <c r="D249" s="51">
        <v>7547569.0999999996</v>
      </c>
      <c r="E249" s="70" t="s">
        <v>992</v>
      </c>
      <c r="F249" s="70" t="s">
        <v>823</v>
      </c>
      <c r="G249" s="148">
        <v>7547569.0999999996</v>
      </c>
      <c r="H249" s="50">
        <v>42673</v>
      </c>
      <c r="I249" s="50">
        <v>42724</v>
      </c>
      <c r="J249" s="51">
        <v>4859935.0199999996</v>
      </c>
    </row>
    <row r="250" spans="1:10" s="7" customFormat="1" ht="33" outlineLevel="1" x14ac:dyDescent="0.25">
      <c r="A250" s="719"/>
      <c r="B250" s="721"/>
      <c r="C250" s="150" t="s">
        <v>37</v>
      </c>
      <c r="D250" s="151">
        <f>78524.08*1.18</f>
        <v>92658.414399999994</v>
      </c>
      <c r="E250" s="152" t="s">
        <v>560</v>
      </c>
      <c r="F250" s="152" t="s">
        <v>539</v>
      </c>
      <c r="G250" s="153">
        <f>78524.08*1.18</f>
        <v>92658.414399999994</v>
      </c>
      <c r="H250" s="154">
        <v>42429</v>
      </c>
      <c r="I250" s="154">
        <v>42429</v>
      </c>
      <c r="J250" s="155">
        <v>92658.41</v>
      </c>
    </row>
    <row r="251" spans="1:10" s="7" customFormat="1" ht="17.25" outlineLevel="1" thickBot="1" x14ac:dyDescent="0.3">
      <c r="A251" s="686" t="s">
        <v>628</v>
      </c>
      <c r="B251" s="687"/>
      <c r="C251" s="206"/>
      <c r="D251" s="157">
        <f>SUM(D249:D250)</f>
        <v>7640227.5143999998</v>
      </c>
      <c r="E251" s="88"/>
      <c r="F251" s="88"/>
      <c r="G251" s="158">
        <f>SUM(G249:G250)</f>
        <v>7640227.5143999998</v>
      </c>
      <c r="H251" s="88"/>
      <c r="I251" s="130"/>
      <c r="J251" s="157">
        <f>SUM(J249:J250)</f>
        <v>4952593.43</v>
      </c>
    </row>
    <row r="252" spans="1:10" s="5" customFormat="1" ht="33" x14ac:dyDescent="0.25">
      <c r="A252" s="718">
        <v>4</v>
      </c>
      <c r="B252" s="723" t="s">
        <v>80</v>
      </c>
      <c r="C252" s="51" t="s">
        <v>38</v>
      </c>
      <c r="D252" s="51">
        <v>2222008.6800000002</v>
      </c>
      <c r="E252" s="70" t="s">
        <v>952</v>
      </c>
      <c r="F252" s="70" t="s">
        <v>804</v>
      </c>
      <c r="G252" s="148">
        <v>2034417.02</v>
      </c>
      <c r="H252" s="50">
        <v>42643</v>
      </c>
      <c r="I252" s="50">
        <v>42668</v>
      </c>
      <c r="J252" s="51">
        <v>2222008.6800000002</v>
      </c>
    </row>
    <row r="253" spans="1:10" s="7" customFormat="1" ht="33" outlineLevel="1" x14ac:dyDescent="0.25">
      <c r="A253" s="719"/>
      <c r="B253" s="721"/>
      <c r="C253" s="52" t="s">
        <v>35</v>
      </c>
      <c r="D253" s="52">
        <v>786614.36</v>
      </c>
      <c r="E253" s="105" t="s">
        <v>952</v>
      </c>
      <c r="F253" s="91" t="s">
        <v>804</v>
      </c>
      <c r="G253" s="149">
        <v>765582.98</v>
      </c>
      <c r="H253" s="75">
        <v>42643</v>
      </c>
      <c r="I253" s="75">
        <v>42660</v>
      </c>
      <c r="J253" s="52">
        <v>786614.36</v>
      </c>
    </row>
    <row r="254" spans="1:10" s="7" customFormat="1" ht="33" outlineLevel="1" x14ac:dyDescent="0.25">
      <c r="A254" s="719"/>
      <c r="B254" s="721"/>
      <c r="C254" s="121" t="s">
        <v>501</v>
      </c>
      <c r="D254" s="121">
        <v>28495000</v>
      </c>
      <c r="E254" s="194" t="s">
        <v>1051</v>
      </c>
      <c r="F254" s="194" t="s">
        <v>755</v>
      </c>
      <c r="G254" s="207">
        <v>12248000</v>
      </c>
      <c r="H254" s="55">
        <v>42867</v>
      </c>
      <c r="I254" s="56"/>
      <c r="J254" s="57"/>
    </row>
    <row r="255" spans="1:10" s="7" customFormat="1" ht="33" outlineLevel="1" x14ac:dyDescent="0.25">
      <c r="A255" s="719"/>
      <c r="B255" s="721"/>
      <c r="C255" s="150" t="s">
        <v>37</v>
      </c>
      <c r="D255" s="151">
        <v>314546.65000000002</v>
      </c>
      <c r="E255" s="152" t="s">
        <v>538</v>
      </c>
      <c r="F255" s="152" t="s">
        <v>539</v>
      </c>
      <c r="G255" s="153">
        <v>314546.63250367146</v>
      </c>
      <c r="H255" s="154">
        <v>42348</v>
      </c>
      <c r="I255" s="154">
        <v>42627</v>
      </c>
      <c r="J255" s="155">
        <v>314546.65000000002</v>
      </c>
    </row>
    <row r="256" spans="1:10" s="7" customFormat="1" ht="17.25" outlineLevel="1" thickBot="1" x14ac:dyDescent="0.3">
      <c r="A256" s="724" t="s">
        <v>628</v>
      </c>
      <c r="B256" s="725"/>
      <c r="C256" s="208"/>
      <c r="D256" s="165">
        <f>SUM(D252:D255)</f>
        <v>31818169.689999998</v>
      </c>
      <c r="E256" s="90"/>
      <c r="F256" s="90"/>
      <c r="G256" s="166">
        <f>SUM(G252:G255)</f>
        <v>15362546.632503672</v>
      </c>
      <c r="H256" s="90"/>
      <c r="I256" s="108"/>
      <c r="J256" s="165">
        <f>SUM(J252:J255)</f>
        <v>3323169.69</v>
      </c>
    </row>
    <row r="257" spans="1:10" s="5" customFormat="1" ht="38.25" customHeight="1" x14ac:dyDescent="0.25">
      <c r="A257" s="718">
        <v>5</v>
      </c>
      <c r="B257" s="723" t="s">
        <v>503</v>
      </c>
      <c r="C257" s="51" t="s">
        <v>500</v>
      </c>
      <c r="D257" s="51">
        <v>6566292.1200000001</v>
      </c>
      <c r="E257" s="70" t="s">
        <v>896</v>
      </c>
      <c r="F257" s="70" t="s">
        <v>787</v>
      </c>
      <c r="G257" s="148">
        <v>6566292.1200000001</v>
      </c>
      <c r="H257" s="50">
        <v>42639</v>
      </c>
      <c r="I257" s="50">
        <v>42684</v>
      </c>
      <c r="J257" s="51">
        <v>5861990.7599999998</v>
      </c>
    </row>
    <row r="258" spans="1:10" s="7" customFormat="1" ht="33" outlineLevel="1" x14ac:dyDescent="0.25">
      <c r="A258" s="719"/>
      <c r="B258" s="721"/>
      <c r="C258" s="150" t="s">
        <v>37</v>
      </c>
      <c r="D258" s="151">
        <v>107384.6</v>
      </c>
      <c r="E258" s="152" t="s">
        <v>560</v>
      </c>
      <c r="F258" s="152" t="s">
        <v>539</v>
      </c>
      <c r="G258" s="153">
        <f>91003.93*1.18</f>
        <v>107384.63739999999</v>
      </c>
      <c r="H258" s="154">
        <v>42429</v>
      </c>
      <c r="I258" s="154">
        <v>42429</v>
      </c>
      <c r="J258" s="155">
        <v>107384.64</v>
      </c>
    </row>
    <row r="259" spans="1:10" s="7" customFormat="1" ht="17.25" outlineLevel="1" thickBot="1" x14ac:dyDescent="0.3">
      <c r="A259" s="686" t="s">
        <v>628</v>
      </c>
      <c r="B259" s="687"/>
      <c r="C259" s="206"/>
      <c r="D259" s="157">
        <f>SUM(D257:D258)</f>
        <v>6673676.7199999997</v>
      </c>
      <c r="E259" s="88"/>
      <c r="F259" s="88"/>
      <c r="G259" s="158">
        <f>SUM(G257:G258)</f>
        <v>6673676.7574000005</v>
      </c>
      <c r="H259" s="88"/>
      <c r="I259" s="130"/>
      <c r="J259" s="157">
        <f>SUM(J257:J258)</f>
        <v>5969375.3999999994</v>
      </c>
    </row>
    <row r="260" spans="1:10" s="5" customFormat="1" ht="33" x14ac:dyDescent="0.25">
      <c r="A260" s="718">
        <v>6</v>
      </c>
      <c r="B260" s="723" t="s">
        <v>81</v>
      </c>
      <c r="C260" s="51" t="s">
        <v>501</v>
      </c>
      <c r="D260" s="51">
        <v>19450000</v>
      </c>
      <c r="E260" s="456" t="s">
        <v>1140</v>
      </c>
      <c r="F260" s="456" t="s">
        <v>660</v>
      </c>
      <c r="G260" s="148">
        <v>19450000</v>
      </c>
      <c r="H260" s="457">
        <v>42791</v>
      </c>
      <c r="I260" s="457">
        <v>42780</v>
      </c>
      <c r="J260" s="51">
        <v>18256658</v>
      </c>
    </row>
    <row r="261" spans="1:10" s="7" customFormat="1" ht="33" outlineLevel="1" x14ac:dyDescent="0.25">
      <c r="A261" s="719"/>
      <c r="B261" s="721"/>
      <c r="C261" s="150" t="s">
        <v>37</v>
      </c>
      <c r="D261" s="151">
        <v>101237.22</v>
      </c>
      <c r="E261" s="152" t="s">
        <v>538</v>
      </c>
      <c r="F261" s="152" t="s">
        <v>539</v>
      </c>
      <c r="G261" s="153">
        <v>101237.22</v>
      </c>
      <c r="H261" s="154">
        <v>42348</v>
      </c>
      <c r="I261" s="154">
        <v>42627</v>
      </c>
      <c r="J261" s="155">
        <v>101237.22</v>
      </c>
    </row>
    <row r="262" spans="1:10" s="7" customFormat="1" ht="17.25" outlineLevel="1" thickBot="1" x14ac:dyDescent="0.3">
      <c r="A262" s="686" t="s">
        <v>628</v>
      </c>
      <c r="B262" s="687"/>
      <c r="C262" s="206"/>
      <c r="D262" s="157">
        <f>SUM(D260:D261)</f>
        <v>19551237.219999999</v>
      </c>
      <c r="E262" s="88"/>
      <c r="F262" s="88"/>
      <c r="G262" s="158">
        <f>SUM(G260:G261)</f>
        <v>19551237.219999999</v>
      </c>
      <c r="H262" s="88"/>
      <c r="I262" s="130"/>
      <c r="J262" s="157">
        <f>SUM(J260:J261)</f>
        <v>18357895.219999999</v>
      </c>
    </row>
    <row r="263" spans="1:10" s="5" customFormat="1" ht="39" customHeight="1" x14ac:dyDescent="0.25">
      <c r="A263" s="718">
        <v>7</v>
      </c>
      <c r="B263" s="723" t="s">
        <v>95</v>
      </c>
      <c r="C263" s="51" t="s">
        <v>500</v>
      </c>
      <c r="D263" s="51">
        <v>2420354.7000000002</v>
      </c>
      <c r="E263" s="70" t="s">
        <v>896</v>
      </c>
      <c r="F263" s="70" t="s">
        <v>787</v>
      </c>
      <c r="G263" s="148">
        <v>2433707.88</v>
      </c>
      <c r="H263" s="50">
        <v>42622</v>
      </c>
      <c r="I263" s="50">
        <v>42625</v>
      </c>
      <c r="J263" s="51">
        <v>2420354.7000000002</v>
      </c>
    </row>
    <row r="264" spans="1:10" s="7" customFormat="1" ht="33" outlineLevel="1" x14ac:dyDescent="0.25">
      <c r="A264" s="719"/>
      <c r="B264" s="721"/>
      <c r="C264" s="150" t="s">
        <v>37</v>
      </c>
      <c r="D264" s="151">
        <f>68190.25*1.18</f>
        <v>80464.494999999995</v>
      </c>
      <c r="E264" s="152" t="s">
        <v>560</v>
      </c>
      <c r="F264" s="152" t="s">
        <v>539</v>
      </c>
      <c r="G264" s="153">
        <f>68190.25*1.18</f>
        <v>80464.494999999995</v>
      </c>
      <c r="H264" s="154">
        <v>42429</v>
      </c>
      <c r="I264" s="154">
        <v>42429</v>
      </c>
      <c r="J264" s="155">
        <v>80464.5</v>
      </c>
    </row>
    <row r="265" spans="1:10" s="7" customFormat="1" ht="17.25" outlineLevel="1" thickBot="1" x14ac:dyDescent="0.3">
      <c r="A265" s="686" t="s">
        <v>628</v>
      </c>
      <c r="B265" s="687"/>
      <c r="C265" s="206"/>
      <c r="D265" s="157">
        <f>SUM(D263:D264)</f>
        <v>2500819.1950000003</v>
      </c>
      <c r="E265" s="88"/>
      <c r="F265" s="88"/>
      <c r="G265" s="158">
        <f>SUM(G263:G264)</f>
        <v>2514172.375</v>
      </c>
      <c r="H265" s="88"/>
      <c r="I265" s="130"/>
      <c r="J265" s="157">
        <f>SUM(J263:J264)</f>
        <v>2500819.2000000002</v>
      </c>
    </row>
    <row r="266" spans="1:10" s="5" customFormat="1" ht="40.5" customHeight="1" x14ac:dyDescent="0.25">
      <c r="A266" s="718">
        <v>8</v>
      </c>
      <c r="B266" s="723" t="s">
        <v>85</v>
      </c>
      <c r="C266" s="51" t="s">
        <v>500</v>
      </c>
      <c r="D266" s="51">
        <v>3406527.84</v>
      </c>
      <c r="E266" s="70" t="s">
        <v>822</v>
      </c>
      <c r="F266" s="70" t="s">
        <v>823</v>
      </c>
      <c r="G266" s="148">
        <v>3585117.8</v>
      </c>
      <c r="H266" s="50">
        <v>42578</v>
      </c>
      <c r="I266" s="50">
        <v>42581</v>
      </c>
      <c r="J266" s="51">
        <v>3406527.84</v>
      </c>
    </row>
    <row r="267" spans="1:10" s="7" customFormat="1" ht="33" outlineLevel="1" x14ac:dyDescent="0.25">
      <c r="A267" s="719"/>
      <c r="B267" s="721"/>
      <c r="C267" s="150" t="s">
        <v>37</v>
      </c>
      <c r="D267" s="151">
        <f>64161.35*1.18</f>
        <v>75710.392999999996</v>
      </c>
      <c r="E267" s="152" t="s">
        <v>560</v>
      </c>
      <c r="F267" s="152" t="s">
        <v>539</v>
      </c>
      <c r="G267" s="153">
        <f>64161.35*1.18</f>
        <v>75710.392999999996</v>
      </c>
      <c r="H267" s="154">
        <v>42429</v>
      </c>
      <c r="I267" s="154">
        <v>42429</v>
      </c>
      <c r="J267" s="155">
        <v>75710.39</v>
      </c>
    </row>
    <row r="268" spans="1:10" s="7" customFormat="1" ht="17.25" outlineLevel="1" thickBot="1" x14ac:dyDescent="0.3">
      <c r="A268" s="686" t="s">
        <v>628</v>
      </c>
      <c r="B268" s="687"/>
      <c r="C268" s="206"/>
      <c r="D268" s="157">
        <f>SUM(D266:D267)</f>
        <v>3482238.233</v>
      </c>
      <c r="E268" s="88"/>
      <c r="F268" s="88"/>
      <c r="G268" s="158">
        <f>SUM(G266:G267)</f>
        <v>3660828.193</v>
      </c>
      <c r="H268" s="88"/>
      <c r="I268" s="130"/>
      <c r="J268" s="157">
        <f>SUM(J266:J267)</f>
        <v>3482238.23</v>
      </c>
    </row>
    <row r="269" spans="1:10" s="5" customFormat="1" ht="33" x14ac:dyDescent="0.25">
      <c r="A269" s="718">
        <v>9</v>
      </c>
      <c r="B269" s="723" t="s">
        <v>86</v>
      </c>
      <c r="C269" s="51" t="s">
        <v>500</v>
      </c>
      <c r="D269" s="51">
        <v>7943067.3399999999</v>
      </c>
      <c r="E269" s="70" t="s">
        <v>822</v>
      </c>
      <c r="F269" s="70" t="s">
        <v>823</v>
      </c>
      <c r="G269" s="148">
        <v>8414882.1999999993</v>
      </c>
      <c r="H269" s="50">
        <v>42582</v>
      </c>
      <c r="I269" s="50">
        <v>42581</v>
      </c>
      <c r="J269" s="51">
        <v>7943067.3399999999</v>
      </c>
    </row>
    <row r="270" spans="1:10" s="7" customFormat="1" ht="33" outlineLevel="1" x14ac:dyDescent="0.25">
      <c r="A270" s="719"/>
      <c r="B270" s="721"/>
      <c r="C270" s="150" t="s">
        <v>37</v>
      </c>
      <c r="D270" s="151">
        <f>64208.73*1.18</f>
        <v>75766.301399999997</v>
      </c>
      <c r="E270" s="152" t="s">
        <v>560</v>
      </c>
      <c r="F270" s="152" t="s">
        <v>539</v>
      </c>
      <c r="G270" s="153">
        <f>64208.73*1.18</f>
        <v>75766.301399999997</v>
      </c>
      <c r="H270" s="154">
        <v>42429</v>
      </c>
      <c r="I270" s="154">
        <v>42429</v>
      </c>
      <c r="J270" s="155">
        <v>75766.3</v>
      </c>
    </row>
    <row r="271" spans="1:10" s="7" customFormat="1" ht="17.25" outlineLevel="1" thickBot="1" x14ac:dyDescent="0.3">
      <c r="A271" s="686" t="s">
        <v>628</v>
      </c>
      <c r="B271" s="687"/>
      <c r="C271" s="206"/>
      <c r="D271" s="157">
        <f>SUM(D269:D270)</f>
        <v>8018833.6414000001</v>
      </c>
      <c r="E271" s="65"/>
      <c r="F271" s="65"/>
      <c r="G271" s="158">
        <f>SUM(G269:G270)</f>
        <v>8490648.5013999995</v>
      </c>
      <c r="H271" s="65"/>
      <c r="I271" s="67"/>
      <c r="J271" s="157">
        <f>SUM(J269:J270)</f>
        <v>8018833.6399999997</v>
      </c>
    </row>
    <row r="272" spans="1:10" s="5" customFormat="1" ht="45" customHeight="1" x14ac:dyDescent="0.25">
      <c r="A272" s="210">
        <v>10</v>
      </c>
      <c r="B272" s="211" t="s">
        <v>1003</v>
      </c>
      <c r="C272" s="160" t="s">
        <v>37</v>
      </c>
      <c r="D272" s="160">
        <v>169590.83</v>
      </c>
      <c r="E272" s="194" t="s">
        <v>538</v>
      </c>
      <c r="F272" s="194" t="s">
        <v>539</v>
      </c>
      <c r="G272" s="209">
        <v>169601.57</v>
      </c>
      <c r="H272" s="81"/>
      <c r="I272" s="83">
        <v>42627</v>
      </c>
      <c r="J272" s="82">
        <v>169590.83</v>
      </c>
    </row>
    <row r="273" spans="1:10" s="7" customFormat="1" ht="17.25" outlineLevel="1" thickBot="1" x14ac:dyDescent="0.3">
      <c r="A273" s="724" t="s">
        <v>628</v>
      </c>
      <c r="B273" s="725"/>
      <c r="C273" s="208"/>
      <c r="D273" s="165">
        <f>SUM(D272:D272)</f>
        <v>169590.83</v>
      </c>
      <c r="E273" s="78"/>
      <c r="F273" s="78"/>
      <c r="G273" s="166">
        <f>SUM(G272:G272)</f>
        <v>169601.57</v>
      </c>
      <c r="H273" s="78"/>
      <c r="I273" s="167"/>
      <c r="J273" s="165">
        <f>SUM(J272:J272)</f>
        <v>169590.83</v>
      </c>
    </row>
    <row r="274" spans="1:10" s="5" customFormat="1" ht="33" x14ac:dyDescent="0.25">
      <c r="A274" s="718">
        <v>12</v>
      </c>
      <c r="B274" s="723" t="s">
        <v>87</v>
      </c>
      <c r="C274" s="51" t="s">
        <v>500</v>
      </c>
      <c r="D274" s="51">
        <v>4788841.26</v>
      </c>
      <c r="E274" s="70" t="s">
        <v>994</v>
      </c>
      <c r="F274" s="70" t="s">
        <v>695</v>
      </c>
      <c r="G274" s="148">
        <v>4788841.26</v>
      </c>
      <c r="H274" s="50">
        <v>42684</v>
      </c>
      <c r="I274" s="50">
        <v>42684</v>
      </c>
      <c r="J274" s="51">
        <v>3913623.87</v>
      </c>
    </row>
    <row r="275" spans="1:10" s="7" customFormat="1" ht="33" outlineLevel="1" x14ac:dyDescent="0.25">
      <c r="A275" s="719"/>
      <c r="B275" s="721"/>
      <c r="C275" s="150" t="s">
        <v>37</v>
      </c>
      <c r="D275" s="151">
        <v>108236.5</v>
      </c>
      <c r="E275" s="152" t="s">
        <v>560</v>
      </c>
      <c r="F275" s="152" t="s">
        <v>539</v>
      </c>
      <c r="G275" s="153">
        <f>91725.84*1.18</f>
        <v>108236.49119999999</v>
      </c>
      <c r="H275" s="154">
        <v>42429</v>
      </c>
      <c r="I275" s="154">
        <v>42429</v>
      </c>
      <c r="J275" s="155">
        <v>108236.49</v>
      </c>
    </row>
    <row r="276" spans="1:10" s="7" customFormat="1" ht="17.25" outlineLevel="1" thickBot="1" x14ac:dyDescent="0.3">
      <c r="A276" s="686" t="s">
        <v>628</v>
      </c>
      <c r="B276" s="687"/>
      <c r="C276" s="206"/>
      <c r="D276" s="157">
        <f>SUM(D274:D275)</f>
        <v>4897077.76</v>
      </c>
      <c r="E276" s="88"/>
      <c r="F276" s="88"/>
      <c r="G276" s="158">
        <f>SUM(G274:G275)</f>
        <v>4897077.7511999998</v>
      </c>
      <c r="H276" s="88"/>
      <c r="I276" s="130"/>
      <c r="J276" s="157">
        <f>SUM(J274:J275)</f>
        <v>4021860.3600000003</v>
      </c>
    </row>
    <row r="277" spans="1:10" s="5" customFormat="1" ht="33" x14ac:dyDescent="0.25">
      <c r="A277" s="718">
        <v>13</v>
      </c>
      <c r="B277" s="723" t="s">
        <v>88</v>
      </c>
      <c r="C277" s="51" t="s">
        <v>500</v>
      </c>
      <c r="D277" s="51">
        <v>4788841.2699999996</v>
      </c>
      <c r="E277" s="70" t="s">
        <v>994</v>
      </c>
      <c r="F277" s="70" t="s">
        <v>695</v>
      </c>
      <c r="G277" s="148">
        <v>4788841.2699999996</v>
      </c>
      <c r="H277" s="50">
        <v>42684</v>
      </c>
      <c r="I277" s="50">
        <v>42684</v>
      </c>
      <c r="J277" s="51">
        <v>3913623.87</v>
      </c>
    </row>
    <row r="278" spans="1:10" s="7" customFormat="1" ht="33" outlineLevel="1" x14ac:dyDescent="0.25">
      <c r="A278" s="719"/>
      <c r="B278" s="721"/>
      <c r="C278" s="150" t="s">
        <v>37</v>
      </c>
      <c r="D278" s="151">
        <f>81309.02*1.18</f>
        <v>95944.643599999996</v>
      </c>
      <c r="E278" s="152" t="s">
        <v>560</v>
      </c>
      <c r="F278" s="152" t="s">
        <v>539</v>
      </c>
      <c r="G278" s="153">
        <f>81309.02*1.18</f>
        <v>95944.643599999996</v>
      </c>
      <c r="H278" s="154">
        <v>42429</v>
      </c>
      <c r="I278" s="154">
        <v>42429</v>
      </c>
      <c r="J278" s="155">
        <v>95944.639999999999</v>
      </c>
    </row>
    <row r="279" spans="1:10" s="7" customFormat="1" ht="17.25" outlineLevel="1" thickBot="1" x14ac:dyDescent="0.3">
      <c r="A279" s="724" t="s">
        <v>628</v>
      </c>
      <c r="B279" s="725"/>
      <c r="C279" s="208"/>
      <c r="D279" s="157">
        <f>SUM(D277:D278)</f>
        <v>4884785.9135999996</v>
      </c>
      <c r="E279" s="78"/>
      <c r="F279" s="78"/>
      <c r="G279" s="158">
        <f>SUM(G277:G278)</f>
        <v>4884785.9135999996</v>
      </c>
      <c r="H279" s="78"/>
      <c r="I279" s="167"/>
      <c r="J279" s="157">
        <f>SUM(J277:J278)</f>
        <v>4009568.5100000002</v>
      </c>
    </row>
    <row r="280" spans="1:10" s="5" customFormat="1" ht="30.75" customHeight="1" x14ac:dyDescent="0.25">
      <c r="A280" s="718">
        <v>14</v>
      </c>
      <c r="B280" s="723" t="s">
        <v>94</v>
      </c>
      <c r="C280" s="51" t="s">
        <v>500</v>
      </c>
      <c r="D280" s="51">
        <v>3912015</v>
      </c>
      <c r="E280" s="70" t="s">
        <v>816</v>
      </c>
      <c r="F280" s="70" t="s">
        <v>723</v>
      </c>
      <c r="G280" s="148">
        <v>4077536.31</v>
      </c>
      <c r="H280" s="50">
        <v>42576</v>
      </c>
      <c r="I280" s="50">
        <v>42576</v>
      </c>
      <c r="J280" s="51">
        <v>3912015</v>
      </c>
    </row>
    <row r="281" spans="1:10" s="7" customFormat="1" ht="33" outlineLevel="1" x14ac:dyDescent="0.25">
      <c r="A281" s="719"/>
      <c r="B281" s="721"/>
      <c r="C281" s="150" t="s">
        <v>37</v>
      </c>
      <c r="D281" s="151">
        <f>70423.98*1.18</f>
        <v>83100.296399999992</v>
      </c>
      <c r="E281" s="152" t="s">
        <v>560</v>
      </c>
      <c r="F281" s="152" t="s">
        <v>539</v>
      </c>
      <c r="G281" s="153">
        <f>70423.98*1.18</f>
        <v>83100.296399999992</v>
      </c>
      <c r="H281" s="154">
        <v>42429</v>
      </c>
      <c r="I281" s="154">
        <v>42429</v>
      </c>
      <c r="J281" s="155">
        <v>83100.3</v>
      </c>
    </row>
    <row r="282" spans="1:10" s="7" customFormat="1" ht="17.25" outlineLevel="1" thickBot="1" x14ac:dyDescent="0.3">
      <c r="A282" s="686" t="s">
        <v>628</v>
      </c>
      <c r="B282" s="687"/>
      <c r="C282" s="206"/>
      <c r="D282" s="157">
        <f>SUM(D280:D281)</f>
        <v>3995115.2963999999</v>
      </c>
      <c r="E282" s="88"/>
      <c r="F282" s="88"/>
      <c r="G282" s="158">
        <f>SUM(G280:G281)</f>
        <v>4160636.6063999999</v>
      </c>
      <c r="H282" s="88"/>
      <c r="I282" s="130"/>
      <c r="J282" s="157">
        <f>SUM(J280:J281)</f>
        <v>3995115.3</v>
      </c>
    </row>
    <row r="283" spans="1:10" s="5" customFormat="1" ht="33" x14ac:dyDescent="0.25">
      <c r="A283" s="718">
        <v>15</v>
      </c>
      <c r="B283" s="723" t="s">
        <v>93</v>
      </c>
      <c r="C283" s="51" t="s">
        <v>500</v>
      </c>
      <c r="D283" s="51">
        <v>2341662</v>
      </c>
      <c r="E283" s="70" t="s">
        <v>816</v>
      </c>
      <c r="F283" s="70" t="s">
        <v>723</v>
      </c>
      <c r="G283" s="148">
        <v>2802463.69</v>
      </c>
      <c r="H283" s="50">
        <v>42576</v>
      </c>
      <c r="I283" s="50">
        <v>42576</v>
      </c>
      <c r="J283" s="51">
        <v>2341662</v>
      </c>
    </row>
    <row r="284" spans="1:10" s="7" customFormat="1" ht="33" outlineLevel="1" x14ac:dyDescent="0.25">
      <c r="A284" s="719"/>
      <c r="B284" s="721"/>
      <c r="C284" s="150" t="s">
        <v>37</v>
      </c>
      <c r="D284" s="151">
        <f>73383.55*1.18</f>
        <v>86592.588999999993</v>
      </c>
      <c r="E284" s="152" t="s">
        <v>560</v>
      </c>
      <c r="F284" s="152" t="s">
        <v>539</v>
      </c>
      <c r="G284" s="153">
        <f>73383.55*1.18</f>
        <v>86592.588999999993</v>
      </c>
      <c r="H284" s="154">
        <v>42429</v>
      </c>
      <c r="I284" s="154">
        <v>42429</v>
      </c>
      <c r="J284" s="155">
        <v>86592.59</v>
      </c>
    </row>
    <row r="285" spans="1:10" s="7" customFormat="1" ht="17.25" outlineLevel="1" thickBot="1" x14ac:dyDescent="0.3">
      <c r="A285" s="686" t="s">
        <v>628</v>
      </c>
      <c r="B285" s="687"/>
      <c r="C285" s="206"/>
      <c r="D285" s="157">
        <f>SUM(D283:D284)</f>
        <v>2428254.5890000002</v>
      </c>
      <c r="E285" s="88"/>
      <c r="F285" s="88"/>
      <c r="G285" s="158">
        <f>SUM(G283:G284)</f>
        <v>2889056.2790000001</v>
      </c>
      <c r="H285" s="88"/>
      <c r="I285" s="130"/>
      <c r="J285" s="157">
        <f>SUM(J283:J284)</f>
        <v>2428254.59</v>
      </c>
    </row>
    <row r="286" spans="1:10" s="5" customFormat="1" ht="33" x14ac:dyDescent="0.25">
      <c r="A286" s="718">
        <v>16</v>
      </c>
      <c r="B286" s="723" t="s">
        <v>504</v>
      </c>
      <c r="C286" s="51" t="s">
        <v>501</v>
      </c>
      <c r="D286" s="51">
        <v>4791185.8600000003</v>
      </c>
      <c r="E286" s="627" t="s">
        <v>1158</v>
      </c>
      <c r="F286" s="627" t="s">
        <v>800</v>
      </c>
      <c r="G286" s="148">
        <v>4791185.8600000003</v>
      </c>
      <c r="H286" s="621">
        <v>42703</v>
      </c>
      <c r="I286" s="621">
        <v>42888</v>
      </c>
      <c r="J286" s="51">
        <v>4528180.38</v>
      </c>
    </row>
    <row r="287" spans="1:10" s="7" customFormat="1" ht="33" outlineLevel="1" x14ac:dyDescent="0.25">
      <c r="A287" s="719"/>
      <c r="B287" s="721"/>
      <c r="C287" s="150" t="s">
        <v>37</v>
      </c>
      <c r="D287" s="151">
        <f>61377.42*1.18</f>
        <v>72425.355599999995</v>
      </c>
      <c r="E287" s="152" t="s">
        <v>560</v>
      </c>
      <c r="F287" s="152" t="s">
        <v>539</v>
      </c>
      <c r="G287" s="153">
        <f>61377.42*1.18</f>
        <v>72425.355599999995</v>
      </c>
      <c r="H287" s="154">
        <v>42429</v>
      </c>
      <c r="I287" s="154">
        <v>42429</v>
      </c>
      <c r="J287" s="155">
        <v>72425.36</v>
      </c>
    </row>
    <row r="288" spans="1:10" s="7" customFormat="1" ht="17.25" outlineLevel="1" thickBot="1" x14ac:dyDescent="0.3">
      <c r="A288" s="686" t="s">
        <v>628</v>
      </c>
      <c r="B288" s="687"/>
      <c r="C288" s="206"/>
      <c r="D288" s="157">
        <f>SUM(D286:D287)</f>
        <v>4863611.2156000007</v>
      </c>
      <c r="E288" s="88"/>
      <c r="F288" s="88"/>
      <c r="G288" s="158">
        <f>SUM(G286:G287)</f>
        <v>4863611.2156000007</v>
      </c>
      <c r="H288" s="88"/>
      <c r="I288" s="130"/>
      <c r="J288" s="157">
        <f>SUM(J286:J287)</f>
        <v>4600605.74</v>
      </c>
    </row>
    <row r="289" spans="1:10" s="5" customFormat="1" ht="33" x14ac:dyDescent="0.25">
      <c r="A289" s="718">
        <v>17</v>
      </c>
      <c r="B289" s="723" t="s">
        <v>82</v>
      </c>
      <c r="C289" s="51" t="s">
        <v>501</v>
      </c>
      <c r="D289" s="51">
        <v>10677257.140000001</v>
      </c>
      <c r="E289" s="627" t="s">
        <v>1158</v>
      </c>
      <c r="F289" s="627" t="s">
        <v>800</v>
      </c>
      <c r="G289" s="148">
        <v>10677257.140000001</v>
      </c>
      <c r="H289" s="621">
        <v>42703</v>
      </c>
      <c r="I289" s="621">
        <v>42888</v>
      </c>
      <c r="J289" s="51">
        <v>10367535.460000001</v>
      </c>
    </row>
    <row r="290" spans="1:10" s="7" customFormat="1" ht="33" outlineLevel="1" x14ac:dyDescent="0.25">
      <c r="A290" s="719"/>
      <c r="B290" s="721"/>
      <c r="C290" s="150" t="s">
        <v>37</v>
      </c>
      <c r="D290" s="151">
        <v>82847.88</v>
      </c>
      <c r="E290" s="152" t="s">
        <v>538</v>
      </c>
      <c r="F290" s="152" t="s">
        <v>539</v>
      </c>
      <c r="G290" s="153">
        <v>82847.88</v>
      </c>
      <c r="H290" s="154">
        <v>42348</v>
      </c>
      <c r="I290" s="154">
        <v>42627</v>
      </c>
      <c r="J290" s="155">
        <v>82847.88</v>
      </c>
    </row>
    <row r="291" spans="1:10" s="7" customFormat="1" ht="17.25" outlineLevel="1" thickBot="1" x14ac:dyDescent="0.3">
      <c r="A291" s="724" t="s">
        <v>628</v>
      </c>
      <c r="B291" s="725"/>
      <c r="C291" s="208"/>
      <c r="D291" s="157">
        <f>SUM(D289:D290)</f>
        <v>10760105.020000001</v>
      </c>
      <c r="E291" s="90"/>
      <c r="F291" s="90"/>
      <c r="G291" s="158">
        <f>SUM(G289:G290)</f>
        <v>10760105.020000001</v>
      </c>
      <c r="H291" s="90"/>
      <c r="I291" s="108"/>
      <c r="J291" s="157">
        <f>SUM(J289:J290)</f>
        <v>10450383.340000002</v>
      </c>
    </row>
    <row r="292" spans="1:10" s="5" customFormat="1" ht="33" x14ac:dyDescent="0.25">
      <c r="A292" s="718">
        <v>18</v>
      </c>
      <c r="B292" s="723" t="s">
        <v>89</v>
      </c>
      <c r="C292" s="51" t="s">
        <v>500</v>
      </c>
      <c r="D292" s="51">
        <v>3484341.76</v>
      </c>
      <c r="E292" s="70" t="s">
        <v>843</v>
      </c>
      <c r="F292" s="70" t="s">
        <v>844</v>
      </c>
      <c r="G292" s="148">
        <v>3204419.8</v>
      </c>
      <c r="H292" s="50">
        <v>42582</v>
      </c>
      <c r="I292" s="50">
        <v>42582</v>
      </c>
      <c r="J292" s="51">
        <v>3484341.76</v>
      </c>
    </row>
    <row r="293" spans="1:10" s="7" customFormat="1" ht="33" outlineLevel="1" x14ac:dyDescent="0.25">
      <c r="A293" s="719"/>
      <c r="B293" s="721"/>
      <c r="C293" s="150" t="s">
        <v>37</v>
      </c>
      <c r="D293" s="151">
        <f>67338.47*1.18</f>
        <v>79459.3946</v>
      </c>
      <c r="E293" s="152" t="s">
        <v>560</v>
      </c>
      <c r="F293" s="152" t="s">
        <v>539</v>
      </c>
      <c r="G293" s="153">
        <f>67338.47*1.18</f>
        <v>79459.3946</v>
      </c>
      <c r="H293" s="154">
        <v>42429</v>
      </c>
      <c r="I293" s="154">
        <v>42429</v>
      </c>
      <c r="J293" s="155">
        <v>79459.39</v>
      </c>
    </row>
    <row r="294" spans="1:10" s="7" customFormat="1" ht="17.25" outlineLevel="1" thickBot="1" x14ac:dyDescent="0.3">
      <c r="A294" s="686" t="s">
        <v>628</v>
      </c>
      <c r="B294" s="687"/>
      <c r="C294" s="206"/>
      <c r="D294" s="157">
        <f>SUM(D292:D293)</f>
        <v>3563801.1546</v>
      </c>
      <c r="E294" s="88"/>
      <c r="F294" s="88"/>
      <c r="G294" s="158">
        <f>SUM(G292:G293)</f>
        <v>3283879.1946</v>
      </c>
      <c r="H294" s="88"/>
      <c r="I294" s="130"/>
      <c r="J294" s="157">
        <f>SUM(J292:J293)</f>
        <v>3563801.15</v>
      </c>
    </row>
    <row r="295" spans="1:10" s="5" customFormat="1" ht="33" x14ac:dyDescent="0.25">
      <c r="A295" s="718">
        <v>19</v>
      </c>
      <c r="B295" s="723" t="s">
        <v>90</v>
      </c>
      <c r="C295" s="51" t="s">
        <v>500</v>
      </c>
      <c r="D295" s="51">
        <v>2869747.02</v>
      </c>
      <c r="E295" s="70" t="s">
        <v>851</v>
      </c>
      <c r="F295" s="70" t="s">
        <v>743</v>
      </c>
      <c r="G295" s="148">
        <v>2904922.4</v>
      </c>
      <c r="H295" s="50">
        <v>42613</v>
      </c>
      <c r="I295" s="50">
        <v>42630</v>
      </c>
      <c r="J295" s="51">
        <v>2869747.02</v>
      </c>
    </row>
    <row r="296" spans="1:10" s="7" customFormat="1" ht="33" outlineLevel="1" x14ac:dyDescent="0.25">
      <c r="A296" s="719"/>
      <c r="B296" s="721"/>
      <c r="C296" s="150" t="s">
        <v>37</v>
      </c>
      <c r="D296" s="151">
        <f>66666.05*1.18</f>
        <v>78665.938999999998</v>
      </c>
      <c r="E296" s="152" t="s">
        <v>560</v>
      </c>
      <c r="F296" s="152" t="s">
        <v>539</v>
      </c>
      <c r="G296" s="153">
        <f>66666.05*1.18</f>
        <v>78665.938999999998</v>
      </c>
      <c r="H296" s="154">
        <v>42429</v>
      </c>
      <c r="I296" s="154">
        <v>42429</v>
      </c>
      <c r="J296" s="155">
        <v>78665.94</v>
      </c>
    </row>
    <row r="297" spans="1:10" s="7" customFormat="1" ht="17.25" outlineLevel="1" thickBot="1" x14ac:dyDescent="0.3">
      <c r="A297" s="686" t="s">
        <v>628</v>
      </c>
      <c r="B297" s="687"/>
      <c r="C297" s="206"/>
      <c r="D297" s="157">
        <f>SUM(D295:D296)</f>
        <v>2948412.9589999998</v>
      </c>
      <c r="E297" s="88"/>
      <c r="F297" s="88"/>
      <c r="G297" s="158">
        <f>SUM(G295:G296)</f>
        <v>2983588.3389999997</v>
      </c>
      <c r="H297" s="88"/>
      <c r="I297" s="130"/>
      <c r="J297" s="157">
        <f>SUM(J295:J296)</f>
        <v>2948412.96</v>
      </c>
    </row>
    <row r="298" spans="1:10" s="5" customFormat="1" ht="33" x14ac:dyDescent="0.25">
      <c r="A298" s="718">
        <v>20</v>
      </c>
      <c r="B298" s="723" t="s">
        <v>91</v>
      </c>
      <c r="C298" s="51" t="s">
        <v>500</v>
      </c>
      <c r="D298" s="51">
        <v>3084980.2</v>
      </c>
      <c r="E298" s="70" t="s">
        <v>852</v>
      </c>
      <c r="F298" s="70" t="s">
        <v>743</v>
      </c>
      <c r="G298" s="148">
        <v>2895077.6</v>
      </c>
      <c r="H298" s="50">
        <v>42613</v>
      </c>
      <c r="I298" s="50">
        <v>42630</v>
      </c>
      <c r="J298" s="51">
        <v>3084980.2</v>
      </c>
    </row>
    <row r="299" spans="1:10" s="7" customFormat="1" ht="33" outlineLevel="1" x14ac:dyDescent="0.25">
      <c r="A299" s="719"/>
      <c r="B299" s="721"/>
      <c r="C299" s="150" t="s">
        <v>37</v>
      </c>
      <c r="D299" s="151">
        <f>68892.43*1.18</f>
        <v>81293.067399999985</v>
      </c>
      <c r="E299" s="152" t="s">
        <v>560</v>
      </c>
      <c r="F299" s="152" t="s">
        <v>539</v>
      </c>
      <c r="G299" s="153">
        <f>68892.43*1.18</f>
        <v>81293.067399999985</v>
      </c>
      <c r="H299" s="154">
        <v>42429</v>
      </c>
      <c r="I299" s="154">
        <v>42429</v>
      </c>
      <c r="J299" s="155">
        <v>81293.070000000007</v>
      </c>
    </row>
    <row r="300" spans="1:10" s="7" customFormat="1" ht="17.25" outlineLevel="1" thickBot="1" x14ac:dyDescent="0.3">
      <c r="A300" s="686" t="s">
        <v>628</v>
      </c>
      <c r="B300" s="687"/>
      <c r="C300" s="206"/>
      <c r="D300" s="157">
        <f>SUM(D298:D299)</f>
        <v>3166273.2674000002</v>
      </c>
      <c r="E300" s="88"/>
      <c r="F300" s="88"/>
      <c r="G300" s="158">
        <f>SUM(G298:G299)</f>
        <v>2976370.6674000002</v>
      </c>
      <c r="H300" s="88"/>
      <c r="I300" s="130"/>
      <c r="J300" s="157">
        <f>SUM(J298:J299)</f>
        <v>3166273.27</v>
      </c>
    </row>
    <row r="301" spans="1:10" s="9" customFormat="1" ht="33" outlineLevel="1" x14ac:dyDescent="0.25">
      <c r="A301" s="212"/>
      <c r="B301" s="213" t="s">
        <v>92</v>
      </c>
      <c r="C301" s="214" t="s">
        <v>37</v>
      </c>
      <c r="D301" s="215">
        <f>61805.33*1.18</f>
        <v>72930.289399999994</v>
      </c>
      <c r="E301" s="214" t="s">
        <v>560</v>
      </c>
      <c r="F301" s="214" t="s">
        <v>539</v>
      </c>
      <c r="G301" s="216">
        <f>61805.33*1.18</f>
        <v>72930.289399999994</v>
      </c>
      <c r="H301" s="217">
        <v>42429</v>
      </c>
      <c r="I301" s="217">
        <v>42429</v>
      </c>
      <c r="J301" s="215">
        <v>72930.289999999994</v>
      </c>
    </row>
    <row r="302" spans="1:10" s="9" customFormat="1" ht="17.25" outlineLevel="1" thickBot="1" x14ac:dyDescent="0.3">
      <c r="A302" s="728" t="s">
        <v>628</v>
      </c>
      <c r="B302" s="729"/>
      <c r="C302" s="87"/>
      <c r="D302" s="64">
        <f>SUM(D301:D301)</f>
        <v>72930.289399999994</v>
      </c>
      <c r="E302" s="111"/>
      <c r="F302" s="111"/>
      <c r="G302" s="66">
        <f>SUM(G301:G301)</f>
        <v>72930.289399999994</v>
      </c>
      <c r="H302" s="111"/>
      <c r="I302" s="218"/>
      <c r="J302" s="64">
        <f>SUM(J301:J301)</f>
        <v>72930.289999999994</v>
      </c>
    </row>
    <row r="303" spans="1:10" s="5" customFormat="1" ht="33" x14ac:dyDescent="0.25">
      <c r="A303" s="718">
        <v>22</v>
      </c>
      <c r="B303" s="723" t="s">
        <v>83</v>
      </c>
      <c r="C303" s="51" t="s">
        <v>38</v>
      </c>
      <c r="D303" s="51">
        <v>1823304.14</v>
      </c>
      <c r="E303" s="70" t="s">
        <v>973</v>
      </c>
      <c r="F303" s="70" t="s">
        <v>800</v>
      </c>
      <c r="G303" s="148">
        <v>1733737.42</v>
      </c>
      <c r="H303" s="50">
        <v>42613</v>
      </c>
      <c r="I303" s="219" t="s">
        <v>987</v>
      </c>
      <c r="J303" s="51">
        <v>1823304.14</v>
      </c>
    </row>
    <row r="304" spans="1:10" s="7" customFormat="1" ht="33" outlineLevel="1" x14ac:dyDescent="0.25">
      <c r="A304" s="719"/>
      <c r="B304" s="721"/>
      <c r="C304" s="52" t="s">
        <v>34</v>
      </c>
      <c r="D304" s="52">
        <v>4630225.5999999996</v>
      </c>
      <c r="E304" s="91" t="s">
        <v>973</v>
      </c>
      <c r="F304" s="220" t="s">
        <v>800</v>
      </c>
      <c r="G304" s="149">
        <v>6677821.7800000003</v>
      </c>
      <c r="H304" s="75">
        <v>42613</v>
      </c>
      <c r="I304" s="75">
        <v>42614</v>
      </c>
      <c r="J304" s="52">
        <v>4630225.5999999996</v>
      </c>
    </row>
    <row r="305" spans="1:10" s="7" customFormat="1" ht="33" outlineLevel="1" x14ac:dyDescent="0.25">
      <c r="A305" s="719"/>
      <c r="B305" s="721"/>
      <c r="C305" s="52" t="s">
        <v>35</v>
      </c>
      <c r="D305" s="52">
        <v>1022892.44</v>
      </c>
      <c r="E305" s="221" t="s">
        <v>973</v>
      </c>
      <c r="F305" s="220" t="s">
        <v>800</v>
      </c>
      <c r="G305" s="149">
        <v>1023078.88</v>
      </c>
      <c r="H305" s="75">
        <v>42613</v>
      </c>
      <c r="I305" s="75">
        <v>42614</v>
      </c>
      <c r="J305" s="52">
        <v>1022892.44</v>
      </c>
    </row>
    <row r="306" spans="1:10" s="7" customFormat="1" ht="33" outlineLevel="1" x14ac:dyDescent="0.25">
      <c r="A306" s="719"/>
      <c r="B306" s="721"/>
      <c r="C306" s="52" t="s">
        <v>36</v>
      </c>
      <c r="D306" s="52">
        <v>718837.12</v>
      </c>
      <c r="E306" s="91" t="s">
        <v>973</v>
      </c>
      <c r="F306" s="91" t="s">
        <v>800</v>
      </c>
      <c r="G306" s="149">
        <v>680955.58</v>
      </c>
      <c r="H306" s="75">
        <v>42613</v>
      </c>
      <c r="I306" s="75">
        <v>42614</v>
      </c>
      <c r="J306" s="52">
        <v>718837.12</v>
      </c>
    </row>
    <row r="307" spans="1:10" s="7" customFormat="1" ht="33" outlineLevel="1" x14ac:dyDescent="0.25">
      <c r="A307" s="719"/>
      <c r="B307" s="721"/>
      <c r="C307" s="150" t="s">
        <v>37</v>
      </c>
      <c r="D307" s="151">
        <v>383270.82</v>
      </c>
      <c r="E307" s="152" t="s">
        <v>538</v>
      </c>
      <c r="F307" s="152" t="s">
        <v>539</v>
      </c>
      <c r="G307" s="153">
        <v>383270.80084257666</v>
      </c>
      <c r="H307" s="154">
        <v>42348</v>
      </c>
      <c r="I307" s="154">
        <v>42627</v>
      </c>
      <c r="J307" s="155">
        <v>383270.82</v>
      </c>
    </row>
    <row r="308" spans="1:10" s="7" customFormat="1" ht="17.25" outlineLevel="1" thickBot="1" x14ac:dyDescent="0.3">
      <c r="A308" s="724" t="s">
        <v>628</v>
      </c>
      <c r="B308" s="725"/>
      <c r="C308" s="208"/>
      <c r="D308" s="165">
        <f>SUM(D303:D307)</f>
        <v>8578530.1199999992</v>
      </c>
      <c r="E308" s="90"/>
      <c r="F308" s="90"/>
      <c r="G308" s="166">
        <f>SUM(G303:G307)</f>
        <v>10498864.460842576</v>
      </c>
      <c r="H308" s="90"/>
      <c r="I308" s="108"/>
      <c r="J308" s="165">
        <f>SUM(J303:J307)</f>
        <v>8578530.1199999992</v>
      </c>
    </row>
    <row r="309" spans="1:10" s="5" customFormat="1" ht="33" x14ac:dyDescent="0.25">
      <c r="A309" s="718">
        <v>23</v>
      </c>
      <c r="B309" s="723" t="s">
        <v>84</v>
      </c>
      <c r="C309" s="51" t="s">
        <v>38</v>
      </c>
      <c r="D309" s="51">
        <v>4330317.9800000004</v>
      </c>
      <c r="E309" s="70" t="s">
        <v>916</v>
      </c>
      <c r="F309" s="70" t="s">
        <v>800</v>
      </c>
      <c r="G309" s="148">
        <v>3940854.26</v>
      </c>
      <c r="H309" s="50">
        <v>42625</v>
      </c>
      <c r="I309" s="50">
        <v>42625</v>
      </c>
      <c r="J309" s="51">
        <v>4330317.9800000004</v>
      </c>
    </row>
    <row r="310" spans="1:10" s="5" customFormat="1" ht="31.5" customHeight="1" x14ac:dyDescent="0.25">
      <c r="A310" s="719"/>
      <c r="B310" s="721"/>
      <c r="C310" s="52" t="s">
        <v>505</v>
      </c>
      <c r="D310" s="52">
        <v>1285764</v>
      </c>
      <c r="E310" s="91" t="s">
        <v>1002</v>
      </c>
      <c r="F310" s="91" t="s">
        <v>787</v>
      </c>
      <c r="G310" s="149">
        <v>1285764</v>
      </c>
      <c r="H310" s="75">
        <v>42684</v>
      </c>
      <c r="I310" s="75">
        <v>42751</v>
      </c>
      <c r="J310" s="52">
        <v>1103890.71</v>
      </c>
    </row>
    <row r="311" spans="1:10" s="7" customFormat="1" ht="33" outlineLevel="1" x14ac:dyDescent="0.25">
      <c r="A311" s="719"/>
      <c r="B311" s="721"/>
      <c r="C311" s="52" t="s">
        <v>34</v>
      </c>
      <c r="D311" s="52">
        <v>14172891.5</v>
      </c>
      <c r="E311" s="91" t="s">
        <v>916</v>
      </c>
      <c r="F311" s="91" t="s">
        <v>800</v>
      </c>
      <c r="G311" s="149">
        <v>12885823.02</v>
      </c>
      <c r="H311" s="75">
        <v>42624</v>
      </c>
      <c r="I311" s="75">
        <v>42625</v>
      </c>
      <c r="J311" s="52">
        <v>14172891.5</v>
      </c>
    </row>
    <row r="312" spans="1:10" s="7" customFormat="1" ht="33" outlineLevel="1" x14ac:dyDescent="0.25">
      <c r="A312" s="719"/>
      <c r="B312" s="721"/>
      <c r="C312" s="52" t="s">
        <v>35</v>
      </c>
      <c r="D312" s="52">
        <v>2093465.14</v>
      </c>
      <c r="E312" s="91" t="s">
        <v>916</v>
      </c>
      <c r="F312" s="91" t="s">
        <v>800</v>
      </c>
      <c r="G312" s="149">
        <v>2225253</v>
      </c>
      <c r="H312" s="75">
        <v>42625</v>
      </c>
      <c r="I312" s="75">
        <v>42625</v>
      </c>
      <c r="J312" s="52">
        <v>2093465.14</v>
      </c>
    </row>
    <row r="313" spans="1:10" s="7" customFormat="1" ht="33" outlineLevel="1" x14ac:dyDescent="0.25">
      <c r="A313" s="719"/>
      <c r="B313" s="721"/>
      <c r="C313" s="52" t="s">
        <v>36</v>
      </c>
      <c r="D313" s="52">
        <v>2073271.8</v>
      </c>
      <c r="E313" s="105" t="s">
        <v>916</v>
      </c>
      <c r="F313" s="105" t="s">
        <v>800</v>
      </c>
      <c r="G313" s="149">
        <v>1891400</v>
      </c>
      <c r="H313" s="75">
        <v>42625</v>
      </c>
      <c r="I313" s="75">
        <v>42625</v>
      </c>
      <c r="J313" s="52">
        <v>2073271.8</v>
      </c>
    </row>
    <row r="314" spans="1:10" s="7" customFormat="1" ht="33" outlineLevel="1" x14ac:dyDescent="0.25">
      <c r="A314" s="719"/>
      <c r="B314" s="721"/>
      <c r="C314" s="150" t="s">
        <v>37</v>
      </c>
      <c r="D314" s="151">
        <v>319721.3</v>
      </c>
      <c r="E314" s="152" t="s">
        <v>538</v>
      </c>
      <c r="F314" s="152" t="s">
        <v>539</v>
      </c>
      <c r="G314" s="153">
        <v>402005.11399999994</v>
      </c>
      <c r="H314" s="154">
        <v>42348</v>
      </c>
      <c r="I314" s="154">
        <v>42627</v>
      </c>
      <c r="J314" s="155">
        <v>319721.3</v>
      </c>
    </row>
    <row r="315" spans="1:10" s="7" customFormat="1" ht="17.25" outlineLevel="1" thickBot="1" x14ac:dyDescent="0.3">
      <c r="A315" s="724" t="s">
        <v>628</v>
      </c>
      <c r="B315" s="725"/>
      <c r="C315" s="208"/>
      <c r="D315" s="165">
        <f>SUM(D309:D314)</f>
        <v>24275431.720000003</v>
      </c>
      <c r="E315" s="78"/>
      <c r="F315" s="78"/>
      <c r="G315" s="166">
        <f>SUM(G309:G314)</f>
        <v>22631099.394000001</v>
      </c>
      <c r="H315" s="78"/>
      <c r="I315" s="167"/>
      <c r="J315" s="165">
        <f>SUM(J309:J314)</f>
        <v>24093558.430000003</v>
      </c>
    </row>
    <row r="316" spans="1:10" s="7" customFormat="1" ht="19.5" customHeight="1" outlineLevel="1" x14ac:dyDescent="0.25">
      <c r="A316" s="182"/>
      <c r="B316" s="872" t="s">
        <v>1008</v>
      </c>
      <c r="C316" s="872"/>
      <c r="D316" s="183">
        <v>3056656.8</v>
      </c>
      <c r="E316" s="184"/>
      <c r="F316" s="82"/>
      <c r="G316" s="183">
        <f>SUM(G317:G325)</f>
        <v>1869154.37</v>
      </c>
      <c r="H316" s="83"/>
      <c r="I316" s="163"/>
      <c r="J316" s="484">
        <f>SUM(J317:J325)</f>
        <v>1675297.5299999998</v>
      </c>
    </row>
    <row r="317" spans="1:10" s="23" customFormat="1" ht="33.75" customHeight="1" outlineLevel="1" x14ac:dyDescent="0.25">
      <c r="A317" s="539"/>
      <c r="B317" s="540" t="s">
        <v>84</v>
      </c>
      <c r="C317" s="530" t="s">
        <v>37</v>
      </c>
      <c r="D317" s="186"/>
      <c r="E317" s="712" t="s">
        <v>1312</v>
      </c>
      <c r="F317" s="693" t="s">
        <v>1208</v>
      </c>
      <c r="G317" s="73">
        <v>120393.29</v>
      </c>
      <c r="H317" s="816">
        <v>42760</v>
      </c>
      <c r="I317" s="713">
        <v>42795</v>
      </c>
      <c r="J317" s="73">
        <v>102028.21</v>
      </c>
    </row>
    <row r="318" spans="1:10" s="23" customFormat="1" ht="25.5" customHeight="1" outlineLevel="1" x14ac:dyDescent="0.25">
      <c r="A318" s="539"/>
      <c r="B318" s="540" t="s">
        <v>1306</v>
      </c>
      <c r="C318" s="530" t="s">
        <v>37</v>
      </c>
      <c r="D318" s="186"/>
      <c r="E318" s="712"/>
      <c r="F318" s="693"/>
      <c r="G318" s="73">
        <v>298934.09000000003</v>
      </c>
      <c r="H318" s="816"/>
      <c r="I318" s="678"/>
      <c r="J318" s="73">
        <v>253333.97</v>
      </c>
    </row>
    <row r="319" spans="1:10" s="23" customFormat="1" ht="16.5" outlineLevel="1" x14ac:dyDescent="0.25">
      <c r="A319" s="539"/>
      <c r="B319" s="540" t="s">
        <v>1307</v>
      </c>
      <c r="C319" s="530" t="s">
        <v>37</v>
      </c>
      <c r="D319" s="186"/>
      <c r="E319" s="712"/>
      <c r="F319" s="693"/>
      <c r="G319" s="73">
        <v>132799.14000000001</v>
      </c>
      <c r="H319" s="816"/>
      <c r="I319" s="678"/>
      <c r="J319" s="73">
        <v>112541.64</v>
      </c>
    </row>
    <row r="320" spans="1:10" s="23" customFormat="1" ht="16.5" outlineLevel="1" x14ac:dyDescent="0.25">
      <c r="A320" s="539"/>
      <c r="B320" s="540" t="s">
        <v>1308</v>
      </c>
      <c r="C320" s="530" t="s">
        <v>37</v>
      </c>
      <c r="D320" s="186"/>
      <c r="E320" s="712"/>
      <c r="F320" s="693"/>
      <c r="G320" s="73">
        <v>121281.53</v>
      </c>
      <c r="H320" s="816"/>
      <c r="I320" s="678"/>
      <c r="J320" s="73">
        <v>102780.96</v>
      </c>
    </row>
    <row r="321" spans="1:10" s="23" customFormat="1" ht="33" outlineLevel="1" x14ac:dyDescent="0.25">
      <c r="A321" s="539"/>
      <c r="B321" s="540" t="s">
        <v>1309</v>
      </c>
      <c r="C321" s="530" t="s">
        <v>37</v>
      </c>
      <c r="D321" s="186"/>
      <c r="E321" s="712"/>
      <c r="F321" s="693"/>
      <c r="G321" s="73">
        <v>84947.21</v>
      </c>
      <c r="H321" s="816"/>
      <c r="I321" s="678"/>
      <c r="J321" s="73">
        <v>71989.16</v>
      </c>
    </row>
    <row r="322" spans="1:10" s="23" customFormat="1" ht="16.5" outlineLevel="1" x14ac:dyDescent="0.25">
      <c r="A322" s="539"/>
      <c r="B322" s="540" t="s">
        <v>1310</v>
      </c>
      <c r="C322" s="530" t="s">
        <v>37</v>
      </c>
      <c r="D322" s="186"/>
      <c r="E322" s="712"/>
      <c r="F322" s="693"/>
      <c r="G322" s="73">
        <v>441661.94</v>
      </c>
      <c r="H322" s="816"/>
      <c r="I322" s="678"/>
      <c r="J322" s="73">
        <v>374289.79</v>
      </c>
    </row>
    <row r="323" spans="1:10" s="23" customFormat="1" ht="16.5" outlineLevel="1" x14ac:dyDescent="0.25">
      <c r="A323" s="539"/>
      <c r="B323" s="540" t="s">
        <v>1311</v>
      </c>
      <c r="C323" s="530" t="s">
        <v>37</v>
      </c>
      <c r="D323" s="186"/>
      <c r="E323" s="712"/>
      <c r="F323" s="693"/>
      <c r="G323" s="73">
        <v>70822.11</v>
      </c>
      <c r="H323" s="816"/>
      <c r="I323" s="678"/>
      <c r="J323" s="73">
        <v>60018.74</v>
      </c>
    </row>
    <row r="324" spans="1:10" s="23" customFormat="1" ht="45.75" customHeight="1" outlineLevel="1" x14ac:dyDescent="0.25">
      <c r="A324" s="541"/>
      <c r="B324" s="540" t="s">
        <v>1358</v>
      </c>
      <c r="C324" s="530" t="s">
        <v>37</v>
      </c>
      <c r="D324" s="537"/>
      <c r="E324" s="707"/>
      <c r="F324" s="694"/>
      <c r="G324" s="127">
        <v>337097.85</v>
      </c>
      <c r="H324" s="713"/>
      <c r="I324" s="678"/>
      <c r="J324" s="127">
        <v>337097.85</v>
      </c>
    </row>
    <row r="325" spans="1:10" s="23" customFormat="1" ht="33.75" outlineLevel="1" thickBot="1" x14ac:dyDescent="0.3">
      <c r="A325" s="542"/>
      <c r="B325" s="543" t="s">
        <v>1359</v>
      </c>
      <c r="C325" s="95" t="s">
        <v>37</v>
      </c>
      <c r="D325" s="189"/>
      <c r="E325" s="717"/>
      <c r="F325" s="695"/>
      <c r="G325" s="93">
        <v>261217.21</v>
      </c>
      <c r="H325" s="817"/>
      <c r="I325" s="680"/>
      <c r="J325" s="93">
        <v>261217.21</v>
      </c>
    </row>
    <row r="326" spans="1:10" s="7" customFormat="1" ht="17.25" outlineLevel="1" thickBot="1" x14ac:dyDescent="0.3">
      <c r="A326" s="726" t="s">
        <v>629</v>
      </c>
      <c r="B326" s="727"/>
      <c r="C326" s="224"/>
      <c r="D326" s="190">
        <f>SUM(D315,D308,D302,D300,D297,D294,D291,D288,D285,D282,D279,D276,D273,D271,D268,D265,D262,D259,D256,D251,D248,D245,D316)</f>
        <v>170820730.54880002</v>
      </c>
      <c r="E326" s="190"/>
      <c r="F326" s="190"/>
      <c r="G326" s="190">
        <f>SUM(G315,G308,G302,G300,G297,G294,G291,G288,G285,G282,G279,G276,G273,G271,G268,G265,G262,G259,G256,G251,G248,G245,G316)</f>
        <v>154055540.08474624</v>
      </c>
      <c r="H326" s="190"/>
      <c r="I326" s="190"/>
      <c r="J326" s="190">
        <f>SUM(J315,J308,J302,J300,J297,J294,J291,J288,J285,J282,J279,J276,J273,J271,J268,J265,J262,J259,J256,J251,J248,J245,J316)</f>
        <v>133160675.60000002</v>
      </c>
    </row>
    <row r="327" spans="1:10" s="5" customFormat="1" ht="24.75" customHeight="1" thickBot="1" x14ac:dyDescent="0.3">
      <c r="A327" s="757" t="s">
        <v>634</v>
      </c>
      <c r="B327" s="758"/>
      <c r="C327" s="758"/>
      <c r="D327" s="758"/>
      <c r="E327" s="758"/>
      <c r="F327" s="758"/>
      <c r="G327" s="758"/>
      <c r="H327" s="758"/>
      <c r="I327" s="758"/>
      <c r="J327" s="758"/>
    </row>
    <row r="328" spans="1:10" s="5" customFormat="1" ht="15" customHeight="1" x14ac:dyDescent="0.25">
      <c r="A328" s="722">
        <v>1</v>
      </c>
      <c r="B328" s="720" t="s">
        <v>96</v>
      </c>
      <c r="C328" s="107" t="s">
        <v>35</v>
      </c>
      <c r="D328" s="225">
        <v>1341468.44</v>
      </c>
      <c r="E328" s="681" t="s">
        <v>676</v>
      </c>
      <c r="F328" s="690" t="s">
        <v>596</v>
      </c>
      <c r="G328" s="226">
        <v>1565974.57</v>
      </c>
      <c r="H328" s="676">
        <v>42475</v>
      </c>
      <c r="I328" s="676">
        <v>42460</v>
      </c>
      <c r="J328" s="107">
        <v>1341468.44</v>
      </c>
    </row>
    <row r="329" spans="1:10" s="7" customFormat="1" ht="15" customHeight="1" outlineLevel="1" x14ac:dyDescent="0.25">
      <c r="A329" s="689"/>
      <c r="B329" s="721"/>
      <c r="C329" s="52" t="s">
        <v>36</v>
      </c>
      <c r="D329" s="228">
        <v>1770792.26</v>
      </c>
      <c r="E329" s="681"/>
      <c r="F329" s="681"/>
      <c r="G329" s="149">
        <v>1572189.62</v>
      </c>
      <c r="H329" s="676"/>
      <c r="I329" s="678"/>
      <c r="J329" s="52">
        <v>1770792.2599999998</v>
      </c>
    </row>
    <row r="330" spans="1:10" s="7" customFormat="1" ht="16.5" outlineLevel="1" x14ac:dyDescent="0.25">
      <c r="A330" s="689"/>
      <c r="B330" s="721"/>
      <c r="C330" s="52" t="s">
        <v>505</v>
      </c>
      <c r="D330" s="228">
        <v>3267967.71</v>
      </c>
      <c r="E330" s="682"/>
      <c r="F330" s="682"/>
      <c r="G330" s="229">
        <v>3261641.39</v>
      </c>
      <c r="H330" s="677"/>
      <c r="I330" s="679"/>
      <c r="J330" s="52">
        <v>3267967.71</v>
      </c>
    </row>
    <row r="331" spans="1:10" s="7" customFormat="1" ht="33" outlineLevel="1" x14ac:dyDescent="0.25">
      <c r="A331" s="689"/>
      <c r="B331" s="721"/>
      <c r="C331" s="116" t="s">
        <v>37</v>
      </c>
      <c r="D331" s="59">
        <f>153295.18*1.18</f>
        <v>180888.3124</v>
      </c>
      <c r="E331" s="60" t="s">
        <v>547</v>
      </c>
      <c r="F331" s="230" t="s">
        <v>548</v>
      </c>
      <c r="G331" s="61">
        <v>180448.29</v>
      </c>
      <c r="H331" s="62">
        <v>42381</v>
      </c>
      <c r="I331" s="62">
        <v>42381</v>
      </c>
      <c r="J331" s="63">
        <v>180888.31</v>
      </c>
    </row>
    <row r="332" spans="1:10" s="5" customFormat="1" ht="17.25" outlineLevel="1" thickBot="1" x14ac:dyDescent="0.3">
      <c r="A332" s="686" t="s">
        <v>628</v>
      </c>
      <c r="B332" s="687"/>
      <c r="C332" s="157"/>
      <c r="D332" s="157">
        <f>SUM(D328:D331)</f>
        <v>6561116.7224000003</v>
      </c>
      <c r="E332" s="65"/>
      <c r="F332" s="65"/>
      <c r="G332" s="158">
        <f>SUM(G328:G331)</f>
        <v>6580253.8700000001</v>
      </c>
      <c r="H332" s="69"/>
      <c r="I332" s="231"/>
      <c r="J332" s="157">
        <f>SUM(J328:J331)</f>
        <v>6561116.7199999997</v>
      </c>
    </row>
    <row r="333" spans="1:10" s="5" customFormat="1" ht="49.5" x14ac:dyDescent="0.25">
      <c r="A333" s="688">
        <v>2</v>
      </c>
      <c r="B333" s="723" t="s">
        <v>97</v>
      </c>
      <c r="C333" s="51" t="s">
        <v>500</v>
      </c>
      <c r="D333" s="51">
        <v>8997282.8800000008</v>
      </c>
      <c r="E333" s="50" t="s">
        <v>599</v>
      </c>
      <c r="F333" s="50" t="s">
        <v>600</v>
      </c>
      <c r="G333" s="148">
        <v>9606310.3800000008</v>
      </c>
      <c r="H333" s="50">
        <v>42391</v>
      </c>
      <c r="I333" s="50">
        <v>42410</v>
      </c>
      <c r="J333" s="51">
        <v>8997282.8800000008</v>
      </c>
    </row>
    <row r="334" spans="1:10" s="7" customFormat="1" ht="33" outlineLevel="1" x14ac:dyDescent="0.25">
      <c r="A334" s="689"/>
      <c r="B334" s="721"/>
      <c r="C334" s="116" t="s">
        <v>37</v>
      </c>
      <c r="D334" s="59">
        <f>89033.01*1.18</f>
        <v>105058.9518</v>
      </c>
      <c r="E334" s="60" t="s">
        <v>547</v>
      </c>
      <c r="F334" s="60" t="s">
        <v>548</v>
      </c>
      <c r="G334" s="61">
        <v>104803.39</v>
      </c>
      <c r="H334" s="62">
        <v>42381</v>
      </c>
      <c r="I334" s="62">
        <v>42381</v>
      </c>
      <c r="J334" s="63">
        <v>105058.94999999998</v>
      </c>
    </row>
    <row r="335" spans="1:10" s="7" customFormat="1" ht="17.25" outlineLevel="1" thickBot="1" x14ac:dyDescent="0.3">
      <c r="A335" s="686" t="s">
        <v>628</v>
      </c>
      <c r="B335" s="687"/>
      <c r="C335" s="206"/>
      <c r="D335" s="157">
        <f>SUM(D333:D334)</f>
        <v>9102341.8318000007</v>
      </c>
      <c r="E335" s="88"/>
      <c r="F335" s="88"/>
      <c r="G335" s="158">
        <f>SUM(G333:G334)</f>
        <v>9711113.7700000014</v>
      </c>
      <c r="H335" s="124"/>
      <c r="I335" s="231"/>
      <c r="J335" s="157">
        <f>SUM(J333:J334)</f>
        <v>9102341.8300000001</v>
      </c>
    </row>
    <row r="336" spans="1:10" s="5" customFormat="1" ht="22.5" customHeight="1" x14ac:dyDescent="0.25">
      <c r="A336" s="722">
        <v>3</v>
      </c>
      <c r="B336" s="720" t="s">
        <v>98</v>
      </c>
      <c r="C336" s="107" t="s">
        <v>36</v>
      </c>
      <c r="D336" s="107">
        <v>1555661.9939999999</v>
      </c>
      <c r="E336" s="681" t="s">
        <v>685</v>
      </c>
      <c r="F336" s="681" t="s">
        <v>596</v>
      </c>
      <c r="G336" s="226">
        <v>1687782.08</v>
      </c>
      <c r="H336" s="676">
        <v>42475</v>
      </c>
      <c r="I336" s="676">
        <v>42451</v>
      </c>
      <c r="J336" s="107">
        <v>1555661.99</v>
      </c>
    </row>
    <row r="337" spans="1:10" s="7" customFormat="1" ht="22.5" customHeight="1" outlineLevel="1" x14ac:dyDescent="0.25">
      <c r="A337" s="689"/>
      <c r="B337" s="721"/>
      <c r="C337" s="52" t="s">
        <v>505</v>
      </c>
      <c r="D337" s="52">
        <v>3138231.24</v>
      </c>
      <c r="E337" s="682"/>
      <c r="F337" s="682"/>
      <c r="G337" s="149">
        <v>2898884.49</v>
      </c>
      <c r="H337" s="677"/>
      <c r="I337" s="677"/>
      <c r="J337" s="52">
        <v>3138231.24</v>
      </c>
    </row>
    <row r="338" spans="1:10" s="7" customFormat="1" ht="33" outlineLevel="1" x14ac:dyDescent="0.25">
      <c r="A338" s="689"/>
      <c r="B338" s="721"/>
      <c r="C338" s="116" t="s">
        <v>37</v>
      </c>
      <c r="D338" s="59">
        <f>98339.51*1.18</f>
        <v>116040.62179999999</v>
      </c>
      <c r="E338" s="60" t="s">
        <v>547</v>
      </c>
      <c r="F338" s="230" t="s">
        <v>548</v>
      </c>
      <c r="G338" s="61">
        <v>115758.34</v>
      </c>
      <c r="H338" s="62">
        <v>42381</v>
      </c>
      <c r="I338" s="62">
        <v>42381</v>
      </c>
      <c r="J338" s="63">
        <v>116040.62</v>
      </c>
    </row>
    <row r="339" spans="1:10" s="7" customFormat="1" ht="17.25" outlineLevel="1" thickBot="1" x14ac:dyDescent="0.3">
      <c r="A339" s="686" t="s">
        <v>628</v>
      </c>
      <c r="B339" s="687"/>
      <c r="C339" s="206"/>
      <c r="D339" s="157">
        <f>SUM(D336:D338)</f>
        <v>4809933.8558</v>
      </c>
      <c r="E339" s="88"/>
      <c r="F339" s="88"/>
      <c r="G339" s="158">
        <f>SUM(G336:G338)</f>
        <v>4702424.91</v>
      </c>
      <c r="H339" s="124"/>
      <c r="I339" s="231"/>
      <c r="J339" s="157">
        <f>SUM(J336:J338)</f>
        <v>4809933.8500000006</v>
      </c>
    </row>
    <row r="340" spans="1:10" s="5" customFormat="1" ht="66" x14ac:dyDescent="0.25">
      <c r="A340" s="688">
        <v>4</v>
      </c>
      <c r="B340" s="723" t="s">
        <v>506</v>
      </c>
      <c r="C340" s="51" t="s">
        <v>500</v>
      </c>
      <c r="D340" s="51">
        <v>13535679.699999999</v>
      </c>
      <c r="E340" s="50" t="s">
        <v>601</v>
      </c>
      <c r="F340" s="50" t="s">
        <v>602</v>
      </c>
      <c r="G340" s="148">
        <v>12305681.92</v>
      </c>
      <c r="H340" s="50">
        <v>42399</v>
      </c>
      <c r="I340" s="50">
        <v>42410</v>
      </c>
      <c r="J340" s="51">
        <v>13535679.699999999</v>
      </c>
    </row>
    <row r="341" spans="1:10" s="7" customFormat="1" ht="33" outlineLevel="1" x14ac:dyDescent="0.25">
      <c r="A341" s="689"/>
      <c r="B341" s="721"/>
      <c r="C341" s="116" t="s">
        <v>37</v>
      </c>
      <c r="D341" s="59">
        <f>77382.89*1.18</f>
        <v>91311.810199999993</v>
      </c>
      <c r="E341" s="60" t="s">
        <v>547</v>
      </c>
      <c r="F341" s="60" t="s">
        <v>548</v>
      </c>
      <c r="G341" s="61">
        <v>91089.69</v>
      </c>
      <c r="H341" s="62">
        <v>42381</v>
      </c>
      <c r="I341" s="62">
        <v>42381</v>
      </c>
      <c r="J341" s="63">
        <v>91311.81</v>
      </c>
    </row>
    <row r="342" spans="1:10" s="7" customFormat="1" ht="17.25" outlineLevel="1" thickBot="1" x14ac:dyDescent="0.3">
      <c r="A342" s="686" t="s">
        <v>628</v>
      </c>
      <c r="B342" s="687"/>
      <c r="C342" s="206"/>
      <c r="D342" s="157">
        <f>SUM(D340:D341)</f>
        <v>13626991.510199999</v>
      </c>
      <c r="E342" s="88"/>
      <c r="F342" s="88"/>
      <c r="G342" s="158">
        <f>SUM(G340:G341)</f>
        <v>12396771.609999999</v>
      </c>
      <c r="H342" s="124"/>
      <c r="I342" s="130"/>
      <c r="J342" s="157">
        <f>SUM(J340:J341)</f>
        <v>13626991.51</v>
      </c>
    </row>
    <row r="343" spans="1:10" s="5" customFormat="1" ht="15" customHeight="1" x14ac:dyDescent="0.25">
      <c r="A343" s="688">
        <v>5</v>
      </c>
      <c r="B343" s="723" t="s">
        <v>99</v>
      </c>
      <c r="C343" s="51" t="s">
        <v>35</v>
      </c>
      <c r="D343" s="233">
        <v>1299731.96</v>
      </c>
      <c r="E343" s="690" t="s">
        <v>676</v>
      </c>
      <c r="F343" s="690" t="s">
        <v>596</v>
      </c>
      <c r="G343" s="148">
        <v>1501799.28</v>
      </c>
      <c r="H343" s="675">
        <v>42475</v>
      </c>
      <c r="I343" s="50">
        <v>42474</v>
      </c>
      <c r="J343" s="51">
        <v>1299731.96</v>
      </c>
    </row>
    <row r="344" spans="1:10" s="7" customFormat="1" ht="15" customHeight="1" outlineLevel="1" x14ac:dyDescent="0.25">
      <c r="A344" s="689"/>
      <c r="B344" s="721"/>
      <c r="C344" s="52" t="s">
        <v>36</v>
      </c>
      <c r="D344" s="228">
        <v>1936588.28</v>
      </c>
      <c r="E344" s="681"/>
      <c r="F344" s="681"/>
      <c r="G344" s="149">
        <v>1948149.49</v>
      </c>
      <c r="H344" s="676"/>
      <c r="I344" s="75">
        <v>42469</v>
      </c>
      <c r="J344" s="52">
        <v>1936588.28</v>
      </c>
    </row>
    <row r="345" spans="1:10" s="7" customFormat="1" ht="16.5" outlineLevel="1" x14ac:dyDescent="0.25">
      <c r="A345" s="689"/>
      <c r="B345" s="721"/>
      <c r="C345" s="52" t="s">
        <v>500</v>
      </c>
      <c r="D345" s="228">
        <v>6628397.4000000004</v>
      </c>
      <c r="E345" s="682"/>
      <c r="F345" s="682"/>
      <c r="G345" s="149">
        <v>6488579.0800000001</v>
      </c>
      <c r="H345" s="677"/>
      <c r="I345" s="75">
        <v>42460</v>
      </c>
      <c r="J345" s="52">
        <v>6628397.4000000004</v>
      </c>
    </row>
    <row r="346" spans="1:10" s="7" customFormat="1" ht="33" outlineLevel="1" x14ac:dyDescent="0.25">
      <c r="A346" s="689"/>
      <c r="B346" s="721"/>
      <c r="C346" s="116" t="s">
        <v>37</v>
      </c>
      <c r="D346" s="59">
        <f>179597.78*1.18</f>
        <v>211925.38039999999</v>
      </c>
      <c r="E346" s="60" t="s">
        <v>547</v>
      </c>
      <c r="F346" s="230" t="s">
        <v>548</v>
      </c>
      <c r="G346" s="61">
        <v>211409.86</v>
      </c>
      <c r="H346" s="62">
        <v>42381</v>
      </c>
      <c r="I346" s="62">
        <v>42381</v>
      </c>
      <c r="J346" s="63">
        <v>211925.38</v>
      </c>
    </row>
    <row r="347" spans="1:10" s="7" customFormat="1" ht="17.25" outlineLevel="1" thickBot="1" x14ac:dyDescent="0.3">
      <c r="A347" s="686" t="s">
        <v>628</v>
      </c>
      <c r="B347" s="687"/>
      <c r="C347" s="206"/>
      <c r="D347" s="157">
        <f>SUM(D343:D346)</f>
        <v>10076643.020400001</v>
      </c>
      <c r="E347" s="65"/>
      <c r="F347" s="65"/>
      <c r="G347" s="158">
        <f>SUM(G343:G346)</f>
        <v>10149937.709999999</v>
      </c>
      <c r="H347" s="69"/>
      <c r="I347" s="231"/>
      <c r="J347" s="157">
        <f>SUM(J343:J346)</f>
        <v>10076643.020000001</v>
      </c>
    </row>
    <row r="348" spans="1:10" s="5" customFormat="1" ht="29.25" customHeight="1" x14ac:dyDescent="0.25">
      <c r="A348" s="688">
        <v>6</v>
      </c>
      <c r="B348" s="723" t="s">
        <v>122</v>
      </c>
      <c r="C348" s="51" t="s">
        <v>500</v>
      </c>
      <c r="D348" s="51">
        <v>7770537.7199999997</v>
      </c>
      <c r="E348" s="70" t="s">
        <v>765</v>
      </c>
      <c r="F348" s="70" t="s">
        <v>766</v>
      </c>
      <c r="G348" s="148">
        <v>7482581.96</v>
      </c>
      <c r="H348" s="50">
        <v>42560</v>
      </c>
      <c r="I348" s="50">
        <v>42545</v>
      </c>
      <c r="J348" s="51">
        <v>7770537.7199999997</v>
      </c>
    </row>
    <row r="349" spans="1:10" s="7" customFormat="1" ht="33" outlineLevel="1" x14ac:dyDescent="0.25">
      <c r="A349" s="689"/>
      <c r="B349" s="721"/>
      <c r="C349" s="116" t="s">
        <v>37</v>
      </c>
      <c r="D349" s="59">
        <f>99049.97*1.18</f>
        <v>116878.96459999999</v>
      </c>
      <c r="E349" s="60" t="s">
        <v>555</v>
      </c>
      <c r="F349" s="60" t="s">
        <v>554</v>
      </c>
      <c r="G349" s="61">
        <f>99049.97*1.18</f>
        <v>116878.96459999999</v>
      </c>
      <c r="H349" s="62">
        <v>42429</v>
      </c>
      <c r="I349" s="62">
        <v>42429</v>
      </c>
      <c r="J349" s="63">
        <v>116878.97</v>
      </c>
    </row>
    <row r="350" spans="1:10" s="7" customFormat="1" ht="17.25" outlineLevel="1" thickBot="1" x14ac:dyDescent="0.3">
      <c r="A350" s="686" t="s">
        <v>628</v>
      </c>
      <c r="B350" s="687"/>
      <c r="C350" s="206"/>
      <c r="D350" s="157">
        <f>SUM(D348:D349)</f>
        <v>7887416.6845999993</v>
      </c>
      <c r="E350" s="65"/>
      <c r="F350" s="65"/>
      <c r="G350" s="158">
        <f>SUM(G348:G349)</f>
        <v>7599460.9245999996</v>
      </c>
      <c r="H350" s="69"/>
      <c r="I350" s="67"/>
      <c r="J350" s="157">
        <f>SUM(J348:J349)</f>
        <v>7887416.6899999995</v>
      </c>
    </row>
    <row r="351" spans="1:10" s="5" customFormat="1" ht="33" x14ac:dyDescent="0.25">
      <c r="A351" s="688">
        <v>7</v>
      </c>
      <c r="B351" s="723" t="s">
        <v>123</v>
      </c>
      <c r="C351" s="51" t="s">
        <v>500</v>
      </c>
      <c r="D351" s="51">
        <v>2218619.2999999998</v>
      </c>
      <c r="E351" s="70" t="s">
        <v>765</v>
      </c>
      <c r="F351" s="70" t="s">
        <v>766</v>
      </c>
      <c r="G351" s="148">
        <v>2020528.51</v>
      </c>
      <c r="H351" s="50">
        <v>42560</v>
      </c>
      <c r="I351" s="50">
        <v>42545</v>
      </c>
      <c r="J351" s="51">
        <v>2218619.2999999998</v>
      </c>
    </row>
    <row r="352" spans="1:10" s="7" customFormat="1" ht="33" outlineLevel="1" x14ac:dyDescent="0.25">
      <c r="A352" s="689"/>
      <c r="B352" s="721"/>
      <c r="C352" s="116" t="s">
        <v>37</v>
      </c>
      <c r="D352" s="59">
        <f>75166.41*1.18</f>
        <v>88696.363800000006</v>
      </c>
      <c r="E352" s="60" t="s">
        <v>555</v>
      </c>
      <c r="F352" s="60" t="s">
        <v>554</v>
      </c>
      <c r="G352" s="61">
        <f>75166.41*1.18</f>
        <v>88696.363800000006</v>
      </c>
      <c r="H352" s="62">
        <v>42429</v>
      </c>
      <c r="I352" s="62">
        <v>42429</v>
      </c>
      <c r="J352" s="63">
        <v>88696.360000000015</v>
      </c>
    </row>
    <row r="353" spans="1:10" s="7" customFormat="1" ht="17.25" outlineLevel="1" thickBot="1" x14ac:dyDescent="0.3">
      <c r="A353" s="686" t="s">
        <v>628</v>
      </c>
      <c r="B353" s="687"/>
      <c r="C353" s="206"/>
      <c r="D353" s="157">
        <f>SUM(D351:D352)</f>
        <v>2307315.6637999997</v>
      </c>
      <c r="E353" s="88"/>
      <c r="F353" s="88"/>
      <c r="G353" s="158">
        <f>SUM(G351:G352)</f>
        <v>2109224.8738000002</v>
      </c>
      <c r="H353" s="124"/>
      <c r="I353" s="130"/>
      <c r="J353" s="157">
        <f>SUM(J351:J352)</f>
        <v>2307315.6599999997</v>
      </c>
    </row>
    <row r="354" spans="1:10" s="5" customFormat="1" ht="29.25" customHeight="1" x14ac:dyDescent="0.25">
      <c r="A354" s="688">
        <v>8</v>
      </c>
      <c r="B354" s="723" t="s">
        <v>100</v>
      </c>
      <c r="C354" s="51" t="s">
        <v>500</v>
      </c>
      <c r="D354" s="51">
        <v>4054992.04</v>
      </c>
      <c r="E354" s="70" t="s">
        <v>683</v>
      </c>
      <c r="F354" s="70" t="s">
        <v>684</v>
      </c>
      <c r="G354" s="148">
        <v>4034806.17</v>
      </c>
      <c r="H354" s="50">
        <v>42500</v>
      </c>
      <c r="I354" s="50">
        <v>42489</v>
      </c>
      <c r="J354" s="51">
        <v>4054992.2</v>
      </c>
    </row>
    <row r="355" spans="1:10" s="7" customFormat="1" ht="27.75" customHeight="1" outlineLevel="1" x14ac:dyDescent="0.25">
      <c r="A355" s="689"/>
      <c r="B355" s="721"/>
      <c r="C355" s="642" t="s">
        <v>501</v>
      </c>
      <c r="D355" s="642">
        <v>7578000</v>
      </c>
      <c r="E355" s="641" t="s">
        <v>1153</v>
      </c>
      <c r="F355" s="642" t="s">
        <v>669</v>
      </c>
      <c r="G355" s="149">
        <v>6578358.4000000004</v>
      </c>
      <c r="H355" s="643">
        <v>42855</v>
      </c>
      <c r="I355" s="643">
        <v>42891</v>
      </c>
      <c r="J355" s="642">
        <v>6369134.96</v>
      </c>
    </row>
    <row r="356" spans="1:10" s="7" customFormat="1" ht="33" outlineLevel="1" x14ac:dyDescent="0.25">
      <c r="A356" s="689"/>
      <c r="B356" s="721"/>
      <c r="C356" s="116" t="s">
        <v>37</v>
      </c>
      <c r="D356" s="59">
        <f>150649.59*1.18</f>
        <v>177766.51619999998</v>
      </c>
      <c r="E356" s="60" t="s">
        <v>547</v>
      </c>
      <c r="F356" s="230" t="s">
        <v>548</v>
      </c>
      <c r="G356" s="61">
        <v>177334.09</v>
      </c>
      <c r="H356" s="62">
        <v>42381</v>
      </c>
      <c r="I356" s="62">
        <v>42381</v>
      </c>
      <c r="J356" s="63">
        <v>177766.52</v>
      </c>
    </row>
    <row r="357" spans="1:10" s="7" customFormat="1" ht="17.25" outlineLevel="1" thickBot="1" x14ac:dyDescent="0.3">
      <c r="A357" s="686" t="s">
        <v>628</v>
      </c>
      <c r="B357" s="687"/>
      <c r="C357" s="206"/>
      <c r="D357" s="157">
        <f>SUM(D354:D356)</f>
        <v>11810758.5562</v>
      </c>
      <c r="E357" s="65"/>
      <c r="F357" s="65"/>
      <c r="G357" s="158">
        <f>SUM(G354:G356)</f>
        <v>10790498.66</v>
      </c>
      <c r="H357" s="69"/>
      <c r="I357" s="67"/>
      <c r="J357" s="157">
        <f>SUM(J354:J356)</f>
        <v>10601893.68</v>
      </c>
    </row>
    <row r="358" spans="1:10" s="5" customFormat="1" ht="66" x14ac:dyDescent="0.25">
      <c r="A358" s="234">
        <v>9</v>
      </c>
      <c r="B358" s="211" t="s">
        <v>124</v>
      </c>
      <c r="C358" s="51" t="s">
        <v>500</v>
      </c>
      <c r="D358" s="51">
        <v>3347689.85</v>
      </c>
      <c r="E358" s="70" t="s">
        <v>598</v>
      </c>
      <c r="F358" s="70" t="s">
        <v>655</v>
      </c>
      <c r="G358" s="148">
        <v>3783605.1</v>
      </c>
      <c r="H358" s="50">
        <v>42397</v>
      </c>
      <c r="I358" s="50">
        <v>42431</v>
      </c>
      <c r="J358" s="51">
        <v>3347689.8499999996</v>
      </c>
    </row>
    <row r="359" spans="1:10" s="7" customFormat="1" ht="17.25" outlineLevel="1" thickBot="1" x14ac:dyDescent="0.3">
      <c r="A359" s="686" t="s">
        <v>628</v>
      </c>
      <c r="B359" s="687"/>
      <c r="C359" s="206"/>
      <c r="D359" s="157">
        <f>SUM(D358:D358)</f>
        <v>3347689.85</v>
      </c>
      <c r="E359" s="88"/>
      <c r="F359" s="88"/>
      <c r="G359" s="158">
        <f>SUM(G358:G358)</f>
        <v>3783605.1</v>
      </c>
      <c r="H359" s="124"/>
      <c r="I359" s="231"/>
      <c r="J359" s="157">
        <f>SUM(J358:J358)</f>
        <v>3347689.8499999996</v>
      </c>
    </row>
    <row r="360" spans="1:10" s="5" customFormat="1" ht="27" customHeight="1" x14ac:dyDescent="0.25">
      <c r="A360" s="688">
        <v>10</v>
      </c>
      <c r="B360" s="723" t="s">
        <v>101</v>
      </c>
      <c r="C360" s="48" t="s">
        <v>38</v>
      </c>
      <c r="D360" s="233">
        <v>382248</v>
      </c>
      <c r="E360" s="736" t="s">
        <v>679</v>
      </c>
      <c r="F360" s="736" t="s">
        <v>680</v>
      </c>
      <c r="G360" s="49">
        <v>385323.1</v>
      </c>
      <c r="H360" s="715">
        <v>42470</v>
      </c>
      <c r="I360" s="715">
        <v>42503</v>
      </c>
      <c r="J360" s="48">
        <v>382248</v>
      </c>
    </row>
    <row r="361" spans="1:10" s="7" customFormat="1" ht="15" customHeight="1" outlineLevel="1" x14ac:dyDescent="0.25">
      <c r="A361" s="689"/>
      <c r="B361" s="721"/>
      <c r="C361" s="73" t="s">
        <v>35</v>
      </c>
      <c r="D361" s="228">
        <v>280246</v>
      </c>
      <c r="E361" s="737"/>
      <c r="F361" s="737"/>
      <c r="G361" s="74">
        <v>299631.5</v>
      </c>
      <c r="H361" s="716"/>
      <c r="I361" s="716"/>
      <c r="J361" s="73">
        <v>280246</v>
      </c>
    </row>
    <row r="362" spans="1:10" s="7" customFormat="1" ht="33" outlineLevel="1" x14ac:dyDescent="0.25">
      <c r="A362" s="689"/>
      <c r="B362" s="721"/>
      <c r="C362" s="116" t="s">
        <v>37</v>
      </c>
      <c r="D362" s="59">
        <f>57224.76*1.18</f>
        <v>67525.216799999995</v>
      </c>
      <c r="E362" s="60" t="s">
        <v>547</v>
      </c>
      <c r="F362" s="230" t="s">
        <v>548</v>
      </c>
      <c r="G362" s="61">
        <v>67360.960000000006</v>
      </c>
      <c r="H362" s="62">
        <v>42381</v>
      </c>
      <c r="I362" s="62">
        <v>42381</v>
      </c>
      <c r="J362" s="63">
        <v>67525.22</v>
      </c>
    </row>
    <row r="363" spans="1:10" s="7" customFormat="1" ht="17.25" outlineLevel="1" thickBot="1" x14ac:dyDescent="0.3">
      <c r="A363" s="686" t="s">
        <v>628</v>
      </c>
      <c r="B363" s="687"/>
      <c r="C363" s="206"/>
      <c r="D363" s="157">
        <f>SUM(D360:D362)</f>
        <v>730019.21680000005</v>
      </c>
      <c r="E363" s="65"/>
      <c r="F363" s="65"/>
      <c r="G363" s="158">
        <f>SUM(G360:G362)</f>
        <v>752315.55999999994</v>
      </c>
      <c r="H363" s="69"/>
      <c r="I363" s="231"/>
      <c r="J363" s="157">
        <f>SUM(J360:J362)</f>
        <v>730019.22</v>
      </c>
    </row>
    <row r="364" spans="1:10" s="5" customFormat="1" ht="33" x14ac:dyDescent="0.25">
      <c r="A364" s="688">
        <v>11</v>
      </c>
      <c r="B364" s="723" t="s">
        <v>102</v>
      </c>
      <c r="C364" s="160" t="s">
        <v>501</v>
      </c>
      <c r="D364" s="160">
        <v>9543000</v>
      </c>
      <c r="E364" s="194" t="s">
        <v>1153</v>
      </c>
      <c r="F364" s="121" t="s">
        <v>669</v>
      </c>
      <c r="G364" s="209">
        <v>8459779.9000000004</v>
      </c>
      <c r="H364" s="55">
        <v>42855</v>
      </c>
      <c r="I364" s="163"/>
      <c r="J364" s="82"/>
    </row>
    <row r="365" spans="1:10" s="5" customFormat="1" ht="33" x14ac:dyDescent="0.25">
      <c r="A365" s="689"/>
      <c r="B365" s="721"/>
      <c r="C365" s="116" t="s">
        <v>37</v>
      </c>
      <c r="D365" s="63">
        <f>59044.7*1.18</f>
        <v>69672.745999999999</v>
      </c>
      <c r="E365" s="60" t="s">
        <v>547</v>
      </c>
      <c r="F365" s="60" t="s">
        <v>548</v>
      </c>
      <c r="G365" s="237">
        <f>D365+D367-G367</f>
        <v>69672.746000000014</v>
      </c>
      <c r="H365" s="62">
        <v>42381</v>
      </c>
      <c r="I365" s="62">
        <v>42381</v>
      </c>
      <c r="J365" s="63">
        <v>69672.75</v>
      </c>
    </row>
    <row r="366" spans="1:10" s="7" customFormat="1" ht="33" outlineLevel="1" x14ac:dyDescent="0.25">
      <c r="A366" s="689"/>
      <c r="B366" s="721"/>
      <c r="C366" s="52" t="s">
        <v>508</v>
      </c>
      <c r="D366" s="52">
        <v>1761601.94</v>
      </c>
      <c r="E366" s="52" t="s">
        <v>817</v>
      </c>
      <c r="F366" s="52" t="s">
        <v>684</v>
      </c>
      <c r="G366" s="149">
        <v>7576961.7199999997</v>
      </c>
      <c r="H366" s="75">
        <v>42576</v>
      </c>
      <c r="I366" s="75">
        <v>42664</v>
      </c>
      <c r="J366" s="52">
        <v>1761601.94</v>
      </c>
    </row>
    <row r="367" spans="1:10" s="7" customFormat="1" ht="33" outlineLevel="1" x14ac:dyDescent="0.25">
      <c r="A367" s="689"/>
      <c r="B367" s="721"/>
      <c r="C367" s="116" t="s">
        <v>37</v>
      </c>
      <c r="D367" s="59">
        <f>62219.63*1.18</f>
        <v>73419.16339999999</v>
      </c>
      <c r="E367" s="60" t="s">
        <v>557</v>
      </c>
      <c r="F367" s="60" t="s">
        <v>548</v>
      </c>
      <c r="G367" s="61">
        <f>62219.63*1.18</f>
        <v>73419.16339999999</v>
      </c>
      <c r="H367" s="62">
        <v>42424</v>
      </c>
      <c r="I367" s="62">
        <v>42415</v>
      </c>
      <c r="J367" s="63">
        <v>73419.16</v>
      </c>
    </row>
    <row r="368" spans="1:10" s="7" customFormat="1" ht="17.25" outlineLevel="1" thickBot="1" x14ac:dyDescent="0.3">
      <c r="A368" s="686" t="s">
        <v>628</v>
      </c>
      <c r="B368" s="687"/>
      <c r="C368" s="206"/>
      <c r="D368" s="157">
        <f>SUM(D364:D367)</f>
        <v>11447693.849399999</v>
      </c>
      <c r="E368" s="88"/>
      <c r="F368" s="88"/>
      <c r="G368" s="158">
        <f>SUM(G364:G367)</f>
        <v>16179833.5294</v>
      </c>
      <c r="H368" s="124"/>
      <c r="I368" s="130"/>
      <c r="J368" s="157">
        <f>SUM(J364:J367)</f>
        <v>1904693.8499999999</v>
      </c>
    </row>
    <row r="369" spans="1:10" s="5" customFormat="1" ht="33" x14ac:dyDescent="0.25">
      <c r="A369" s="688">
        <v>12</v>
      </c>
      <c r="B369" s="723" t="s">
        <v>125</v>
      </c>
      <c r="C369" s="51" t="s">
        <v>500</v>
      </c>
      <c r="D369" s="51">
        <v>4855333.91</v>
      </c>
      <c r="E369" s="70" t="s">
        <v>875</v>
      </c>
      <c r="F369" s="70" t="s">
        <v>726</v>
      </c>
      <c r="G369" s="148"/>
      <c r="H369" s="50">
        <v>42626</v>
      </c>
      <c r="I369" s="50">
        <v>42625</v>
      </c>
      <c r="J369" s="51">
        <v>4855333.91</v>
      </c>
    </row>
    <row r="370" spans="1:10" s="7" customFormat="1" ht="33" outlineLevel="1" x14ac:dyDescent="0.25">
      <c r="A370" s="689"/>
      <c r="B370" s="721"/>
      <c r="C370" s="116" t="s">
        <v>37</v>
      </c>
      <c r="D370" s="59">
        <f>97068.89*1.18</f>
        <v>114541.29019999999</v>
      </c>
      <c r="E370" s="60" t="s">
        <v>555</v>
      </c>
      <c r="F370" s="60" t="s">
        <v>554</v>
      </c>
      <c r="G370" s="61">
        <f>97068.89*1.18</f>
        <v>114541.29019999999</v>
      </c>
      <c r="H370" s="62">
        <v>42429</v>
      </c>
      <c r="I370" s="62">
        <v>42429</v>
      </c>
      <c r="J370" s="63">
        <v>114541.28999999998</v>
      </c>
    </row>
    <row r="371" spans="1:10" s="7" customFormat="1" ht="17.25" outlineLevel="1" thickBot="1" x14ac:dyDescent="0.3">
      <c r="A371" s="686" t="s">
        <v>628</v>
      </c>
      <c r="B371" s="687"/>
      <c r="C371" s="206"/>
      <c r="D371" s="157">
        <f>SUM(D369:D370)</f>
        <v>4969875.2001999998</v>
      </c>
      <c r="E371" s="88"/>
      <c r="F371" s="88"/>
      <c r="G371" s="158">
        <f>SUM(G369:G370)</f>
        <v>114541.29019999999</v>
      </c>
      <c r="H371" s="124"/>
      <c r="I371" s="130"/>
      <c r="J371" s="157">
        <f>SUM(J369:J370)</f>
        <v>4969875.2</v>
      </c>
    </row>
    <row r="372" spans="1:10" s="7" customFormat="1" ht="33" outlineLevel="1" x14ac:dyDescent="0.25">
      <c r="A372" s="238"/>
      <c r="B372" s="239" t="s">
        <v>126</v>
      </c>
      <c r="C372" s="116" t="s">
        <v>37</v>
      </c>
      <c r="D372" s="59">
        <f>91145.65*1.18</f>
        <v>107551.86699999998</v>
      </c>
      <c r="E372" s="60" t="s">
        <v>555</v>
      </c>
      <c r="F372" s="60" t="s">
        <v>554</v>
      </c>
      <c r="G372" s="61">
        <f>91145.65*1.18</f>
        <v>107551.86699999998</v>
      </c>
      <c r="H372" s="62">
        <v>42429</v>
      </c>
      <c r="I372" s="62">
        <v>42429</v>
      </c>
      <c r="J372" s="63">
        <v>107551.87</v>
      </c>
    </row>
    <row r="373" spans="1:10" s="7" customFormat="1" ht="17.25" outlineLevel="1" thickBot="1" x14ac:dyDescent="0.3">
      <c r="A373" s="686" t="s">
        <v>628</v>
      </c>
      <c r="B373" s="687"/>
      <c r="C373" s="206"/>
      <c r="D373" s="157">
        <f>SUM(D372:D372)</f>
        <v>107551.86699999998</v>
      </c>
      <c r="E373" s="88"/>
      <c r="F373" s="88"/>
      <c r="G373" s="158">
        <f>SUM(G372:G372)</f>
        <v>107551.86699999998</v>
      </c>
      <c r="H373" s="124"/>
      <c r="I373" s="130"/>
      <c r="J373" s="157">
        <f>SUM(J372:J372)</f>
        <v>107551.87</v>
      </c>
    </row>
    <row r="374" spans="1:10" s="5" customFormat="1" ht="49.5" x14ac:dyDescent="0.25">
      <c r="A374" s="688">
        <v>14</v>
      </c>
      <c r="B374" s="723" t="s">
        <v>103</v>
      </c>
      <c r="C374" s="51" t="s">
        <v>500</v>
      </c>
      <c r="D374" s="51">
        <v>5129290.08</v>
      </c>
      <c r="E374" s="50" t="s">
        <v>599</v>
      </c>
      <c r="F374" s="50" t="s">
        <v>600</v>
      </c>
      <c r="G374" s="148">
        <v>4939426.9000000004</v>
      </c>
      <c r="H374" s="50">
        <v>42391</v>
      </c>
      <c r="I374" s="50">
        <v>42410</v>
      </c>
      <c r="J374" s="51">
        <v>5129290.080000001</v>
      </c>
    </row>
    <row r="375" spans="1:10" s="7" customFormat="1" ht="33" outlineLevel="1" x14ac:dyDescent="0.25">
      <c r="A375" s="689"/>
      <c r="B375" s="721"/>
      <c r="C375" s="116" t="s">
        <v>37</v>
      </c>
      <c r="D375" s="59">
        <f>82125.57*1.18</f>
        <v>96908.172600000005</v>
      </c>
      <c r="E375" s="60" t="s">
        <v>547</v>
      </c>
      <c r="F375" s="60" t="s">
        <v>548</v>
      </c>
      <c r="G375" s="61">
        <v>96672.44</v>
      </c>
      <c r="H375" s="62">
        <v>42381</v>
      </c>
      <c r="I375" s="62">
        <v>42381</v>
      </c>
      <c r="J375" s="63">
        <v>96908.17</v>
      </c>
    </row>
    <row r="376" spans="1:10" s="7" customFormat="1" ht="17.25" outlineLevel="1" thickBot="1" x14ac:dyDescent="0.3">
      <c r="A376" s="686" t="s">
        <v>628</v>
      </c>
      <c r="B376" s="687"/>
      <c r="C376" s="206"/>
      <c r="D376" s="157">
        <f>SUM(D374:D375)</f>
        <v>5226198.2526000002</v>
      </c>
      <c r="E376" s="65"/>
      <c r="F376" s="65"/>
      <c r="G376" s="158">
        <f>SUM(G374:G375)</f>
        <v>5036099.3400000008</v>
      </c>
      <c r="H376" s="69"/>
      <c r="I376" s="67"/>
      <c r="J376" s="157">
        <f>SUM(J374:J375)</f>
        <v>5226198.2500000009</v>
      </c>
    </row>
    <row r="377" spans="1:10" s="5" customFormat="1" ht="33" x14ac:dyDescent="0.25">
      <c r="A377" s="688">
        <v>15</v>
      </c>
      <c r="B377" s="723" t="s">
        <v>104</v>
      </c>
      <c r="C377" s="51" t="s">
        <v>500</v>
      </c>
      <c r="D377" s="51">
        <v>5649883</v>
      </c>
      <c r="E377" s="70" t="s">
        <v>679</v>
      </c>
      <c r="F377" s="70" t="s">
        <v>680</v>
      </c>
      <c r="G377" s="148">
        <v>6317421.46</v>
      </c>
      <c r="H377" s="50">
        <v>42470</v>
      </c>
      <c r="I377" s="50">
        <v>42522</v>
      </c>
      <c r="J377" s="51">
        <v>5649883</v>
      </c>
    </row>
    <row r="378" spans="1:10" s="7" customFormat="1" ht="33" outlineLevel="1" x14ac:dyDescent="0.25">
      <c r="A378" s="689"/>
      <c r="B378" s="721"/>
      <c r="C378" s="116" t="s">
        <v>37</v>
      </c>
      <c r="D378" s="59">
        <f>85922.87*1.18</f>
        <v>101388.98659999999</v>
      </c>
      <c r="E378" s="60" t="s">
        <v>547</v>
      </c>
      <c r="F378" s="60" t="s">
        <v>548</v>
      </c>
      <c r="G378" s="61">
        <v>101142.35</v>
      </c>
      <c r="H378" s="62">
        <v>42381</v>
      </c>
      <c r="I378" s="62">
        <v>42381</v>
      </c>
      <c r="J378" s="63">
        <v>101388.99</v>
      </c>
    </row>
    <row r="379" spans="1:10" s="7" customFormat="1" ht="17.25" outlineLevel="1" thickBot="1" x14ac:dyDescent="0.3">
      <c r="A379" s="686" t="s">
        <v>628</v>
      </c>
      <c r="B379" s="687"/>
      <c r="C379" s="206"/>
      <c r="D379" s="157">
        <f>SUM(D377:D378)</f>
        <v>5751271.9866000004</v>
      </c>
      <c r="E379" s="88"/>
      <c r="F379" s="88"/>
      <c r="G379" s="158">
        <f>SUM(G377:G378)</f>
        <v>6418563.8099999996</v>
      </c>
      <c r="H379" s="124"/>
      <c r="I379" s="231"/>
      <c r="J379" s="157">
        <f>SUM(J377:J378)</f>
        <v>5751271.9900000002</v>
      </c>
    </row>
    <row r="380" spans="1:10" s="5" customFormat="1" ht="33" x14ac:dyDescent="0.25">
      <c r="A380" s="688">
        <v>16</v>
      </c>
      <c r="B380" s="723" t="s">
        <v>105</v>
      </c>
      <c r="C380" s="51" t="s">
        <v>500</v>
      </c>
      <c r="D380" s="51">
        <v>6281488.9699999997</v>
      </c>
      <c r="E380" s="70" t="s">
        <v>683</v>
      </c>
      <c r="F380" s="240" t="s">
        <v>684</v>
      </c>
      <c r="G380" s="241">
        <v>6508509.0599999996</v>
      </c>
      <c r="H380" s="72">
        <v>42500</v>
      </c>
      <c r="I380" s="50">
        <v>42500</v>
      </c>
      <c r="J380" s="51">
        <v>6281488.9699999997</v>
      </c>
    </row>
    <row r="381" spans="1:10" s="7" customFormat="1" ht="31.5" customHeight="1" outlineLevel="1" x14ac:dyDescent="0.25">
      <c r="A381" s="689"/>
      <c r="B381" s="721"/>
      <c r="C381" s="121" t="s">
        <v>501</v>
      </c>
      <c r="D381" s="121">
        <v>7759925.4400000004</v>
      </c>
      <c r="E381" s="161" t="s">
        <v>1064</v>
      </c>
      <c r="F381" s="194" t="s">
        <v>1063</v>
      </c>
      <c r="G381" s="121">
        <v>7759925.4400000004</v>
      </c>
      <c r="H381" s="55">
        <v>42916</v>
      </c>
      <c r="I381" s="56"/>
      <c r="J381" s="57"/>
    </row>
    <row r="382" spans="1:10" s="7" customFormat="1" ht="33" outlineLevel="1" x14ac:dyDescent="0.25">
      <c r="A382" s="689"/>
      <c r="B382" s="721"/>
      <c r="C382" s="116" t="s">
        <v>37</v>
      </c>
      <c r="D382" s="59">
        <f>172879.4*1.18</f>
        <v>203997.69199999998</v>
      </c>
      <c r="E382" s="60" t="s">
        <v>547</v>
      </c>
      <c r="F382" s="230" t="s">
        <v>548</v>
      </c>
      <c r="G382" s="61">
        <v>203501.45</v>
      </c>
      <c r="H382" s="62">
        <v>42381</v>
      </c>
      <c r="I382" s="62">
        <v>42381</v>
      </c>
      <c r="J382" s="63">
        <v>203997.69</v>
      </c>
    </row>
    <row r="383" spans="1:10" s="7" customFormat="1" ht="17.25" outlineLevel="1" thickBot="1" x14ac:dyDescent="0.3">
      <c r="A383" s="686" t="s">
        <v>628</v>
      </c>
      <c r="B383" s="687"/>
      <c r="C383" s="206"/>
      <c r="D383" s="157">
        <f>SUM(D380:D382)</f>
        <v>14245412.102</v>
      </c>
      <c r="E383" s="65"/>
      <c r="F383" s="65"/>
      <c r="G383" s="158">
        <f>SUM(G380:G382)</f>
        <v>14471935.949999999</v>
      </c>
      <c r="H383" s="69"/>
      <c r="I383" s="67"/>
      <c r="J383" s="157">
        <f>SUM(J380:J382)</f>
        <v>6485486.6600000001</v>
      </c>
    </row>
    <row r="384" spans="1:10" s="25" customFormat="1" ht="33" x14ac:dyDescent="0.25">
      <c r="A384" s="688">
        <v>17</v>
      </c>
      <c r="B384" s="723" t="s">
        <v>106</v>
      </c>
      <c r="C384" s="51" t="s">
        <v>501</v>
      </c>
      <c r="D384" s="51">
        <v>8269000</v>
      </c>
      <c r="E384" s="668" t="s">
        <v>1153</v>
      </c>
      <c r="F384" s="669" t="s">
        <v>669</v>
      </c>
      <c r="G384" s="148">
        <v>6369315.5</v>
      </c>
      <c r="H384" s="671">
        <v>42855</v>
      </c>
      <c r="I384" s="667">
        <v>42912</v>
      </c>
      <c r="J384" s="51">
        <v>6021438.5199999996</v>
      </c>
    </row>
    <row r="385" spans="1:10" s="7" customFormat="1" ht="33" outlineLevel="1" x14ac:dyDescent="0.25">
      <c r="A385" s="689"/>
      <c r="B385" s="721"/>
      <c r="C385" s="116" t="s">
        <v>37</v>
      </c>
      <c r="D385" s="59">
        <f>76479.12*1.18</f>
        <v>90245.361599999989</v>
      </c>
      <c r="E385" s="60" t="s">
        <v>547</v>
      </c>
      <c r="F385" s="60" t="s">
        <v>548</v>
      </c>
      <c r="G385" s="61">
        <v>90025.83</v>
      </c>
      <c r="H385" s="62">
        <v>42381</v>
      </c>
      <c r="I385" s="62">
        <v>42381</v>
      </c>
      <c r="J385" s="63">
        <v>90245.36</v>
      </c>
    </row>
    <row r="386" spans="1:10" s="7" customFormat="1" ht="17.25" outlineLevel="1" thickBot="1" x14ac:dyDescent="0.3">
      <c r="A386" s="686" t="s">
        <v>628</v>
      </c>
      <c r="B386" s="687"/>
      <c r="C386" s="206"/>
      <c r="D386" s="157">
        <f>SUM(D384:D385)</f>
        <v>8359245.3616000004</v>
      </c>
      <c r="E386" s="65"/>
      <c r="F386" s="65"/>
      <c r="G386" s="158">
        <f>SUM(G384:G385)</f>
        <v>6459341.3300000001</v>
      </c>
      <c r="H386" s="69"/>
      <c r="I386" s="231"/>
      <c r="J386" s="157">
        <f>SUM(J384:J385)</f>
        <v>6111683.8799999999</v>
      </c>
    </row>
    <row r="387" spans="1:10" s="5" customFormat="1" ht="33" x14ac:dyDescent="0.25">
      <c r="A387" s="688">
        <v>18</v>
      </c>
      <c r="B387" s="723" t="s">
        <v>107</v>
      </c>
      <c r="C387" s="160" t="s">
        <v>501</v>
      </c>
      <c r="D387" s="160">
        <v>8655000</v>
      </c>
      <c r="E387" s="194" t="s">
        <v>1153</v>
      </c>
      <c r="F387" s="121" t="s">
        <v>669</v>
      </c>
      <c r="G387" s="209">
        <v>7965545.1600000001</v>
      </c>
      <c r="H387" s="55">
        <v>42855</v>
      </c>
      <c r="I387" s="163"/>
      <c r="J387" s="82"/>
    </row>
    <row r="388" spans="1:10" s="7" customFormat="1" ht="33" outlineLevel="1" x14ac:dyDescent="0.25">
      <c r="A388" s="689"/>
      <c r="B388" s="721"/>
      <c r="C388" s="116" t="s">
        <v>37</v>
      </c>
      <c r="D388" s="59">
        <f>76250.51*1.18</f>
        <v>89975.601799999989</v>
      </c>
      <c r="E388" s="60" t="s">
        <v>547</v>
      </c>
      <c r="F388" s="60" t="s">
        <v>548</v>
      </c>
      <c r="G388" s="61">
        <v>89756.73</v>
      </c>
      <c r="H388" s="62">
        <v>42381</v>
      </c>
      <c r="I388" s="62">
        <v>42381</v>
      </c>
      <c r="J388" s="63">
        <v>89975.6</v>
      </c>
    </row>
    <row r="389" spans="1:10" s="7" customFormat="1" ht="17.25" outlineLevel="1" thickBot="1" x14ac:dyDescent="0.3">
      <c r="A389" s="686" t="s">
        <v>628</v>
      </c>
      <c r="B389" s="687"/>
      <c r="C389" s="206"/>
      <c r="D389" s="157">
        <f>SUM(D387:D388)</f>
        <v>8744975.6018000003</v>
      </c>
      <c r="E389" s="65"/>
      <c r="F389" s="65"/>
      <c r="G389" s="158">
        <f>SUM(G387:G388)</f>
        <v>8055301.8900000006</v>
      </c>
      <c r="H389" s="69"/>
      <c r="I389" s="67"/>
      <c r="J389" s="157">
        <f>SUM(J387:J388)</f>
        <v>89975.6</v>
      </c>
    </row>
    <row r="390" spans="1:10" s="25" customFormat="1" ht="33" x14ac:dyDescent="0.25">
      <c r="A390" s="688">
        <v>19</v>
      </c>
      <c r="B390" s="723" t="s">
        <v>108</v>
      </c>
      <c r="C390" s="51" t="s">
        <v>501</v>
      </c>
      <c r="D390" s="51">
        <v>8911000</v>
      </c>
      <c r="E390" s="661" t="s">
        <v>1153</v>
      </c>
      <c r="F390" s="659" t="s">
        <v>669</v>
      </c>
      <c r="G390" s="148">
        <v>6913431.2000000002</v>
      </c>
      <c r="H390" s="660">
        <v>42855</v>
      </c>
      <c r="I390" s="662">
        <v>42905</v>
      </c>
      <c r="J390" s="51">
        <v>6658260.9199999999</v>
      </c>
    </row>
    <row r="391" spans="1:10" s="7" customFormat="1" ht="33" outlineLevel="1" x14ac:dyDescent="0.25">
      <c r="A391" s="689"/>
      <c r="B391" s="721"/>
      <c r="C391" s="116" t="s">
        <v>37</v>
      </c>
      <c r="D391" s="59">
        <f>71615.6*1.18</f>
        <v>84506.407999999996</v>
      </c>
      <c r="E391" s="60" t="s">
        <v>547</v>
      </c>
      <c r="F391" s="60" t="s">
        <v>548</v>
      </c>
      <c r="G391" s="61">
        <v>84300.84</v>
      </c>
      <c r="H391" s="62">
        <v>42381</v>
      </c>
      <c r="I391" s="62">
        <v>42381</v>
      </c>
      <c r="J391" s="63">
        <v>84506.41</v>
      </c>
    </row>
    <row r="392" spans="1:10" s="7" customFormat="1" ht="17.25" outlineLevel="1" thickBot="1" x14ac:dyDescent="0.3">
      <c r="A392" s="686" t="s">
        <v>628</v>
      </c>
      <c r="B392" s="687"/>
      <c r="C392" s="206"/>
      <c r="D392" s="157">
        <f>SUM(D390:D391)</f>
        <v>8995506.4079999998</v>
      </c>
      <c r="E392" s="65"/>
      <c r="F392" s="65"/>
      <c r="G392" s="158">
        <f>SUM(G390:G391)</f>
        <v>6997732.04</v>
      </c>
      <c r="H392" s="69"/>
      <c r="I392" s="231"/>
      <c r="J392" s="157">
        <f>SUM(J390:J391)</f>
        <v>6742767.3300000001</v>
      </c>
    </row>
    <row r="393" spans="1:10" s="5" customFormat="1" ht="33" x14ac:dyDescent="0.25">
      <c r="A393" s="688">
        <v>20</v>
      </c>
      <c r="B393" s="723" t="s">
        <v>109</v>
      </c>
      <c r="C393" s="51" t="s">
        <v>500</v>
      </c>
      <c r="D393" s="51">
        <v>4184274.76</v>
      </c>
      <c r="E393" s="70" t="s">
        <v>683</v>
      </c>
      <c r="F393" s="70" t="s">
        <v>684</v>
      </c>
      <c r="G393" s="51">
        <v>4065684.77</v>
      </c>
      <c r="H393" s="50">
        <v>42500</v>
      </c>
      <c r="I393" s="50">
        <v>42489</v>
      </c>
      <c r="J393" s="51">
        <v>4184274.76</v>
      </c>
    </row>
    <row r="394" spans="1:10" s="20" customFormat="1" ht="33.75" customHeight="1" outlineLevel="1" x14ac:dyDescent="0.25">
      <c r="A394" s="689"/>
      <c r="B394" s="721"/>
      <c r="C394" s="659" t="s">
        <v>501</v>
      </c>
      <c r="D394" s="659">
        <v>8886000</v>
      </c>
      <c r="E394" s="661" t="s">
        <v>1153</v>
      </c>
      <c r="F394" s="659" t="s">
        <v>669</v>
      </c>
      <c r="G394" s="226">
        <v>6883640.9199999999</v>
      </c>
      <c r="H394" s="660">
        <v>42855</v>
      </c>
      <c r="I394" s="660">
        <v>42905</v>
      </c>
      <c r="J394" s="659">
        <v>6586667.96</v>
      </c>
    </row>
    <row r="395" spans="1:10" s="7" customFormat="1" ht="33" outlineLevel="1" x14ac:dyDescent="0.25">
      <c r="A395" s="689"/>
      <c r="B395" s="721"/>
      <c r="C395" s="116" t="s">
        <v>37</v>
      </c>
      <c r="D395" s="59">
        <f>130827.42*1.18</f>
        <v>154376.35559999998</v>
      </c>
      <c r="E395" s="60" t="s">
        <v>547</v>
      </c>
      <c r="F395" s="230" t="s">
        <v>548</v>
      </c>
      <c r="G395" s="61">
        <v>154000.82</v>
      </c>
      <c r="H395" s="62">
        <v>42381</v>
      </c>
      <c r="I395" s="62">
        <v>42381</v>
      </c>
      <c r="J395" s="63">
        <v>154376.35999999999</v>
      </c>
    </row>
    <row r="396" spans="1:10" s="7" customFormat="1" ht="17.25" outlineLevel="1" thickBot="1" x14ac:dyDescent="0.3">
      <c r="A396" s="686" t="s">
        <v>628</v>
      </c>
      <c r="B396" s="687"/>
      <c r="C396" s="206"/>
      <c r="D396" s="157">
        <f>SUM(D393:D395)</f>
        <v>13224651.115599999</v>
      </c>
      <c r="E396" s="88"/>
      <c r="F396" s="88"/>
      <c r="G396" s="158">
        <f>SUM(G393:G395)</f>
        <v>11103326.51</v>
      </c>
      <c r="H396" s="124"/>
      <c r="I396" s="231"/>
      <c r="J396" s="157">
        <f>SUM(J393:J395)</f>
        <v>10925319.079999998</v>
      </c>
    </row>
    <row r="397" spans="1:10" s="5" customFormat="1" ht="49.5" x14ac:dyDescent="0.25">
      <c r="A397" s="688">
        <v>21</v>
      </c>
      <c r="B397" s="723" t="s">
        <v>110</v>
      </c>
      <c r="C397" s="51" t="s">
        <v>500</v>
      </c>
      <c r="D397" s="51">
        <v>4016547.74</v>
      </c>
      <c r="E397" s="70" t="s">
        <v>678</v>
      </c>
      <c r="F397" s="70" t="s">
        <v>596</v>
      </c>
      <c r="G397" s="148">
        <v>3812938.6</v>
      </c>
      <c r="H397" s="50">
        <v>42475</v>
      </c>
      <c r="I397" s="50">
        <v>42460</v>
      </c>
      <c r="J397" s="51">
        <v>4016547.7399999998</v>
      </c>
    </row>
    <row r="398" spans="1:10" s="7" customFormat="1" ht="33" outlineLevel="1" x14ac:dyDescent="0.25">
      <c r="A398" s="689"/>
      <c r="B398" s="721"/>
      <c r="C398" s="116" t="s">
        <v>37</v>
      </c>
      <c r="D398" s="59">
        <f>65714.68*1.18</f>
        <v>77543.32239999999</v>
      </c>
      <c r="E398" s="60" t="s">
        <v>547</v>
      </c>
      <c r="F398" s="60" t="s">
        <v>548</v>
      </c>
      <c r="G398" s="61">
        <v>77354.69</v>
      </c>
      <c r="H398" s="62">
        <v>42381</v>
      </c>
      <c r="I398" s="62">
        <v>42381</v>
      </c>
      <c r="J398" s="63">
        <v>77543.320000000007</v>
      </c>
    </row>
    <row r="399" spans="1:10" s="7" customFormat="1" ht="17.25" outlineLevel="1" thickBot="1" x14ac:dyDescent="0.3">
      <c r="A399" s="686" t="s">
        <v>628</v>
      </c>
      <c r="B399" s="687"/>
      <c r="C399" s="206"/>
      <c r="D399" s="157">
        <f>SUM(D397:D398)</f>
        <v>4094091.0624000002</v>
      </c>
      <c r="E399" s="88"/>
      <c r="F399" s="88"/>
      <c r="G399" s="158">
        <f>SUM(G397:G398)</f>
        <v>3890293.29</v>
      </c>
      <c r="H399" s="124"/>
      <c r="I399" s="231"/>
      <c r="J399" s="157">
        <f>SUM(J397:J398)</f>
        <v>4094091.0599999996</v>
      </c>
    </row>
    <row r="400" spans="1:10" s="5" customFormat="1" ht="33" x14ac:dyDescent="0.25">
      <c r="A400" s="688">
        <v>22</v>
      </c>
      <c r="B400" s="723" t="s">
        <v>111</v>
      </c>
      <c r="C400" s="160" t="s">
        <v>501</v>
      </c>
      <c r="D400" s="160">
        <v>8091821.6799999997</v>
      </c>
      <c r="E400" s="81" t="s">
        <v>1064</v>
      </c>
      <c r="F400" s="81" t="s">
        <v>1063</v>
      </c>
      <c r="G400" s="209">
        <v>8091821.6799999997</v>
      </c>
      <c r="H400" s="83">
        <v>42916</v>
      </c>
      <c r="I400" s="163"/>
      <c r="J400" s="82"/>
    </row>
    <row r="401" spans="1:10" s="7" customFormat="1" ht="33" outlineLevel="1" x14ac:dyDescent="0.25">
      <c r="A401" s="689"/>
      <c r="B401" s="721"/>
      <c r="C401" s="116" t="s">
        <v>37</v>
      </c>
      <c r="D401" s="59">
        <f>102020.03*1.18</f>
        <v>120383.6354</v>
      </c>
      <c r="E401" s="60" t="s">
        <v>547</v>
      </c>
      <c r="F401" s="60" t="s">
        <v>548</v>
      </c>
      <c r="G401" s="61">
        <v>120090.79</v>
      </c>
      <c r="H401" s="62">
        <v>42381</v>
      </c>
      <c r="I401" s="62">
        <v>42381</v>
      </c>
      <c r="J401" s="63">
        <v>120383.63</v>
      </c>
    </row>
    <row r="402" spans="1:10" s="7" customFormat="1" ht="17.25" outlineLevel="1" thickBot="1" x14ac:dyDescent="0.3">
      <c r="A402" s="686" t="s">
        <v>628</v>
      </c>
      <c r="B402" s="687"/>
      <c r="C402" s="206"/>
      <c r="D402" s="157">
        <f>SUM(D400:D401)</f>
        <v>8212205.3153999997</v>
      </c>
      <c r="E402" s="88"/>
      <c r="F402" s="88"/>
      <c r="G402" s="158">
        <f>SUM(G400:G401)</f>
        <v>8211912.4699999997</v>
      </c>
      <c r="H402" s="124"/>
      <c r="I402" s="130"/>
      <c r="J402" s="157">
        <f>SUM(J400:J401)</f>
        <v>120383.63</v>
      </c>
    </row>
    <row r="403" spans="1:10" s="5" customFormat="1" ht="49.5" x14ac:dyDescent="0.25">
      <c r="A403" s="688">
        <v>23</v>
      </c>
      <c r="B403" s="839" t="s">
        <v>112</v>
      </c>
      <c r="C403" s="51" t="s">
        <v>500</v>
      </c>
      <c r="D403" s="51">
        <v>5758648.9800000004</v>
      </c>
      <c r="E403" s="70" t="s">
        <v>595</v>
      </c>
      <c r="F403" s="70" t="s">
        <v>596</v>
      </c>
      <c r="G403" s="51">
        <v>5571622.5199999996</v>
      </c>
      <c r="H403" s="50">
        <v>42394</v>
      </c>
      <c r="I403" s="50">
        <v>42405</v>
      </c>
      <c r="J403" s="51">
        <v>5758648.9800000004</v>
      </c>
    </row>
    <row r="404" spans="1:10" s="20" customFormat="1" ht="33" outlineLevel="1" x14ac:dyDescent="0.25">
      <c r="A404" s="689"/>
      <c r="B404" s="840"/>
      <c r="C404" s="669" t="s">
        <v>501</v>
      </c>
      <c r="D404" s="669">
        <v>14985000</v>
      </c>
      <c r="E404" s="668" t="s">
        <v>1153</v>
      </c>
      <c r="F404" s="669" t="s">
        <v>669</v>
      </c>
      <c r="G404" s="226">
        <v>12985226.220000001</v>
      </c>
      <c r="H404" s="671">
        <v>42855</v>
      </c>
      <c r="I404" s="671">
        <v>42912</v>
      </c>
      <c r="J404" s="669">
        <v>12553242.18</v>
      </c>
    </row>
    <row r="405" spans="1:10" s="7" customFormat="1" ht="43.5" customHeight="1" outlineLevel="1" x14ac:dyDescent="0.25">
      <c r="A405" s="689"/>
      <c r="B405" s="840"/>
      <c r="C405" s="52" t="s">
        <v>34</v>
      </c>
      <c r="D405" s="52">
        <v>4586327.24</v>
      </c>
      <c r="E405" s="91" t="s">
        <v>953</v>
      </c>
      <c r="F405" s="91" t="s">
        <v>800</v>
      </c>
      <c r="G405" s="149">
        <v>4894040.76</v>
      </c>
      <c r="H405" s="75">
        <v>42594</v>
      </c>
      <c r="I405" s="75">
        <v>42658</v>
      </c>
      <c r="J405" s="52">
        <v>4586327.24</v>
      </c>
    </row>
    <row r="406" spans="1:10" s="7" customFormat="1" ht="33" outlineLevel="1" x14ac:dyDescent="0.25">
      <c r="A406" s="689"/>
      <c r="B406" s="840"/>
      <c r="C406" s="63" t="s">
        <v>895</v>
      </c>
      <c r="D406" s="63">
        <v>71976.08</v>
      </c>
      <c r="E406" s="60" t="s">
        <v>894</v>
      </c>
      <c r="F406" s="60" t="s">
        <v>548</v>
      </c>
      <c r="G406" s="237">
        <v>71976.08</v>
      </c>
      <c r="H406" s="62">
        <v>42586</v>
      </c>
      <c r="I406" s="62">
        <v>42577</v>
      </c>
      <c r="J406" s="63">
        <v>71976.08</v>
      </c>
    </row>
    <row r="407" spans="1:10" s="7" customFormat="1" ht="33" outlineLevel="1" x14ac:dyDescent="0.25">
      <c r="A407" s="689"/>
      <c r="B407" s="720"/>
      <c r="C407" s="116" t="s">
        <v>37</v>
      </c>
      <c r="D407" s="59">
        <f>159755.89*1.18</f>
        <v>188511.95019999999</v>
      </c>
      <c r="E407" s="60" t="s">
        <v>547</v>
      </c>
      <c r="F407" s="60" t="s">
        <v>548</v>
      </c>
      <c r="G407" s="61">
        <v>188053.38</v>
      </c>
      <c r="H407" s="62">
        <v>42381</v>
      </c>
      <c r="I407" s="62">
        <v>42381</v>
      </c>
      <c r="J407" s="63">
        <v>188511.95</v>
      </c>
    </row>
    <row r="408" spans="1:10" s="7" customFormat="1" ht="17.25" outlineLevel="1" thickBot="1" x14ac:dyDescent="0.3">
      <c r="A408" s="686" t="s">
        <v>628</v>
      </c>
      <c r="B408" s="687"/>
      <c r="C408" s="206"/>
      <c r="D408" s="157">
        <f>SUM(D403:D407)</f>
        <v>25590464.250199996</v>
      </c>
      <c r="E408" s="88"/>
      <c r="F408" s="88"/>
      <c r="G408" s="158">
        <f>SUM(G403:G407)</f>
        <v>23710918.959999997</v>
      </c>
      <c r="H408" s="124"/>
      <c r="I408" s="130"/>
      <c r="J408" s="157">
        <f>SUM(J403:J407)</f>
        <v>23158706.429999996</v>
      </c>
    </row>
    <row r="409" spans="1:10" s="5" customFormat="1" ht="66" x14ac:dyDescent="0.25">
      <c r="A409" s="234">
        <v>24</v>
      </c>
      <c r="B409" s="211" t="s">
        <v>143</v>
      </c>
      <c r="C409" s="51" t="s">
        <v>500</v>
      </c>
      <c r="D409" s="51">
        <v>4501543.83</v>
      </c>
      <c r="E409" s="70" t="s">
        <v>606</v>
      </c>
      <c r="F409" s="50" t="s">
        <v>603</v>
      </c>
      <c r="G409" s="148">
        <v>4678000</v>
      </c>
      <c r="H409" s="50">
        <v>42415</v>
      </c>
      <c r="I409" s="50">
        <v>42433</v>
      </c>
      <c r="J409" s="51">
        <v>4501543.83</v>
      </c>
    </row>
    <row r="410" spans="1:10" s="7" customFormat="1" ht="17.25" outlineLevel="1" thickBot="1" x14ac:dyDescent="0.3">
      <c r="A410" s="686" t="s">
        <v>628</v>
      </c>
      <c r="B410" s="687"/>
      <c r="C410" s="206"/>
      <c r="D410" s="157">
        <f>SUM(D409:D409)</f>
        <v>4501543.83</v>
      </c>
      <c r="E410" s="88"/>
      <c r="F410" s="88"/>
      <c r="G410" s="158">
        <f>SUM(G409:G409)</f>
        <v>4678000</v>
      </c>
      <c r="H410" s="124"/>
      <c r="I410" s="130"/>
      <c r="J410" s="157">
        <f>SUM(J409:J409)</f>
        <v>4501543.83</v>
      </c>
    </row>
    <row r="411" spans="1:10" s="5" customFormat="1" ht="33" x14ac:dyDescent="0.25">
      <c r="A411" s="688">
        <v>25</v>
      </c>
      <c r="B411" s="723" t="s">
        <v>113</v>
      </c>
      <c r="C411" s="51" t="s">
        <v>501</v>
      </c>
      <c r="D411" s="51">
        <v>22775453.760000002</v>
      </c>
      <c r="E411" s="641" t="s">
        <v>1153</v>
      </c>
      <c r="F411" s="642" t="s">
        <v>669</v>
      </c>
      <c r="G411" s="148">
        <v>22775453.760000002</v>
      </c>
      <c r="H411" s="643">
        <v>42855</v>
      </c>
      <c r="I411" s="640">
        <v>42891</v>
      </c>
      <c r="J411" s="51">
        <v>22141686.379999999</v>
      </c>
    </row>
    <row r="412" spans="1:10" s="7" customFormat="1" ht="33" outlineLevel="1" x14ac:dyDescent="0.25">
      <c r="A412" s="689"/>
      <c r="B412" s="721"/>
      <c r="C412" s="116" t="s">
        <v>37</v>
      </c>
      <c r="D412" s="59">
        <f>105712.33*1.18</f>
        <v>124740.54939999999</v>
      </c>
      <c r="E412" s="60" t="s">
        <v>547</v>
      </c>
      <c r="F412" s="60" t="s">
        <v>548</v>
      </c>
      <c r="G412" s="61">
        <v>124437.11</v>
      </c>
      <c r="H412" s="62">
        <v>42381</v>
      </c>
      <c r="I412" s="62">
        <v>42381</v>
      </c>
      <c r="J412" s="63">
        <v>124740.55</v>
      </c>
    </row>
    <row r="413" spans="1:10" s="7" customFormat="1" ht="17.25" outlineLevel="1" thickBot="1" x14ac:dyDescent="0.3">
      <c r="A413" s="686" t="s">
        <v>628</v>
      </c>
      <c r="B413" s="687"/>
      <c r="C413" s="206"/>
      <c r="D413" s="157">
        <f>SUM(D411:D412)</f>
        <v>22900194.309400003</v>
      </c>
      <c r="E413" s="88"/>
      <c r="F413" s="88"/>
      <c r="G413" s="158">
        <f>SUM(G411:G412)</f>
        <v>22899890.870000001</v>
      </c>
      <c r="H413" s="124"/>
      <c r="I413" s="231"/>
      <c r="J413" s="157">
        <f>SUM(J411:J412)</f>
        <v>22266426.93</v>
      </c>
    </row>
    <row r="414" spans="1:10" s="5" customFormat="1" ht="33" x14ac:dyDescent="0.25">
      <c r="A414" s="688">
        <v>26</v>
      </c>
      <c r="B414" s="723" t="s">
        <v>115</v>
      </c>
      <c r="C414" s="160" t="s">
        <v>501</v>
      </c>
      <c r="D414" s="160">
        <v>9703053.8599999994</v>
      </c>
      <c r="E414" s="81" t="s">
        <v>1064</v>
      </c>
      <c r="F414" s="81" t="s">
        <v>1063</v>
      </c>
      <c r="G414" s="209">
        <v>9703053.8599999994</v>
      </c>
      <c r="H414" s="83">
        <v>42916</v>
      </c>
      <c r="I414" s="163"/>
      <c r="J414" s="82"/>
    </row>
    <row r="415" spans="1:10" s="7" customFormat="1" ht="33" outlineLevel="1" x14ac:dyDescent="0.25">
      <c r="A415" s="689"/>
      <c r="B415" s="721"/>
      <c r="C415" s="116" t="s">
        <v>37</v>
      </c>
      <c r="D415" s="59">
        <f>93500.62*1.18</f>
        <v>110330.73159999998</v>
      </c>
      <c r="E415" s="60" t="s">
        <v>547</v>
      </c>
      <c r="F415" s="60" t="s">
        <v>548</v>
      </c>
      <c r="G415" s="61">
        <v>110062.34</v>
      </c>
      <c r="H415" s="62">
        <v>42381</v>
      </c>
      <c r="I415" s="62">
        <v>42381</v>
      </c>
      <c r="J415" s="63">
        <v>110330.73</v>
      </c>
    </row>
    <row r="416" spans="1:10" s="7" customFormat="1" ht="17.25" outlineLevel="1" thickBot="1" x14ac:dyDescent="0.3">
      <c r="A416" s="686" t="s">
        <v>628</v>
      </c>
      <c r="B416" s="687"/>
      <c r="C416" s="206"/>
      <c r="D416" s="157">
        <f>SUM(D414:D415)</f>
        <v>9813384.591599999</v>
      </c>
      <c r="E416" s="88"/>
      <c r="F416" s="88"/>
      <c r="G416" s="158">
        <f>SUM(G414:G415)</f>
        <v>9813116.1999999993</v>
      </c>
      <c r="H416" s="124"/>
      <c r="I416" s="231"/>
      <c r="J416" s="157">
        <f>SUM(J414:J415)</f>
        <v>110330.73</v>
      </c>
    </row>
    <row r="417" spans="1:10" s="5" customFormat="1" ht="32.25" customHeight="1" x14ac:dyDescent="0.25">
      <c r="A417" s="688">
        <v>27</v>
      </c>
      <c r="B417" s="723" t="s">
        <v>127</v>
      </c>
      <c r="C417" s="51" t="s">
        <v>500</v>
      </c>
      <c r="D417" s="51">
        <v>2703760</v>
      </c>
      <c r="E417" s="70" t="s">
        <v>813</v>
      </c>
      <c r="F417" s="70" t="s">
        <v>814</v>
      </c>
      <c r="G417" s="148">
        <v>2734161.6</v>
      </c>
      <c r="H417" s="50">
        <v>42582</v>
      </c>
      <c r="I417" s="50">
        <v>42658</v>
      </c>
      <c r="J417" s="51">
        <v>2703760</v>
      </c>
    </row>
    <row r="418" spans="1:10" s="7" customFormat="1" ht="33" outlineLevel="1" x14ac:dyDescent="0.25">
      <c r="A418" s="689"/>
      <c r="B418" s="721"/>
      <c r="C418" s="116" t="s">
        <v>37</v>
      </c>
      <c r="D418" s="59">
        <f>84284.45*1.18</f>
        <v>99455.650999999998</v>
      </c>
      <c r="E418" s="60" t="s">
        <v>555</v>
      </c>
      <c r="F418" s="60" t="s">
        <v>554</v>
      </c>
      <c r="G418" s="61">
        <f>84284.45*1.18</f>
        <v>99455.650999999998</v>
      </c>
      <c r="H418" s="62">
        <v>42429</v>
      </c>
      <c r="I418" s="62">
        <v>42429</v>
      </c>
      <c r="J418" s="63">
        <v>99455.65</v>
      </c>
    </row>
    <row r="419" spans="1:10" s="7" customFormat="1" ht="17.25" outlineLevel="1" thickBot="1" x14ac:dyDescent="0.3">
      <c r="A419" s="686" t="s">
        <v>628</v>
      </c>
      <c r="B419" s="687"/>
      <c r="C419" s="206"/>
      <c r="D419" s="157">
        <f>SUM(D417:D418)</f>
        <v>2803215.6510000001</v>
      </c>
      <c r="E419" s="88"/>
      <c r="F419" s="88"/>
      <c r="G419" s="158">
        <f>SUM(G417:G418)</f>
        <v>2833617.2510000002</v>
      </c>
      <c r="H419" s="124"/>
      <c r="I419" s="130"/>
      <c r="J419" s="157">
        <f>SUM(J417:J418)</f>
        <v>2803215.65</v>
      </c>
    </row>
    <row r="420" spans="1:10" s="5" customFormat="1" ht="33" x14ac:dyDescent="0.25">
      <c r="A420" s="688">
        <v>28</v>
      </c>
      <c r="B420" s="723" t="s">
        <v>128</v>
      </c>
      <c r="C420" s="51" t="s">
        <v>500</v>
      </c>
      <c r="D420" s="51">
        <v>8288047.3600000003</v>
      </c>
      <c r="E420" s="70" t="s">
        <v>915</v>
      </c>
      <c r="F420" s="70" t="s">
        <v>766</v>
      </c>
      <c r="G420" s="148">
        <v>8449432.1300000008</v>
      </c>
      <c r="H420" s="50">
        <v>42670</v>
      </c>
      <c r="I420" s="50">
        <v>42669</v>
      </c>
      <c r="J420" s="51">
        <v>8288047.3600000003</v>
      </c>
    </row>
    <row r="421" spans="1:10" s="7" customFormat="1" ht="33" outlineLevel="1" x14ac:dyDescent="0.25">
      <c r="A421" s="689"/>
      <c r="B421" s="721"/>
      <c r="C421" s="116" t="s">
        <v>37</v>
      </c>
      <c r="D421" s="59">
        <f>91482.53*1.18</f>
        <v>107949.3854</v>
      </c>
      <c r="E421" s="60" t="s">
        <v>555</v>
      </c>
      <c r="F421" s="60" t="s">
        <v>554</v>
      </c>
      <c r="G421" s="61">
        <f>91482.53*1.18</f>
        <v>107949.3854</v>
      </c>
      <c r="H421" s="62">
        <v>42429</v>
      </c>
      <c r="I421" s="62">
        <v>42429</v>
      </c>
      <c r="J421" s="63">
        <v>107949.39000000001</v>
      </c>
    </row>
    <row r="422" spans="1:10" s="7" customFormat="1" ht="17.25" outlineLevel="1" thickBot="1" x14ac:dyDescent="0.3">
      <c r="A422" s="686" t="s">
        <v>628</v>
      </c>
      <c r="B422" s="687"/>
      <c r="C422" s="206"/>
      <c r="D422" s="157">
        <f>SUM(D420:D421)</f>
        <v>8395996.7454000004</v>
      </c>
      <c r="E422" s="88"/>
      <c r="F422" s="88"/>
      <c r="G422" s="158">
        <f>SUM(G420:G421)</f>
        <v>8557381.5153999999</v>
      </c>
      <c r="H422" s="124"/>
      <c r="I422" s="130"/>
      <c r="J422" s="157">
        <f>SUM(J420:J421)</f>
        <v>8395996.75</v>
      </c>
    </row>
    <row r="423" spans="1:10" s="5" customFormat="1" ht="33" x14ac:dyDescent="0.25">
      <c r="A423" s="688">
        <v>29</v>
      </c>
      <c r="B423" s="723" t="s">
        <v>129</v>
      </c>
      <c r="C423" s="51" t="s">
        <v>500</v>
      </c>
      <c r="D423" s="51">
        <v>6083149.25</v>
      </c>
      <c r="E423" s="70" t="s">
        <v>815</v>
      </c>
      <c r="F423" s="70" t="s">
        <v>814</v>
      </c>
      <c r="G423" s="148">
        <v>6990601.1799999997</v>
      </c>
      <c r="H423" s="50">
        <v>42582</v>
      </c>
      <c r="I423" s="50">
        <v>42615</v>
      </c>
      <c r="J423" s="51">
        <v>6083149.25</v>
      </c>
    </row>
    <row r="424" spans="1:10" s="7" customFormat="1" ht="33" outlineLevel="1" x14ac:dyDescent="0.25">
      <c r="A424" s="689"/>
      <c r="B424" s="721"/>
      <c r="C424" s="116" t="s">
        <v>37</v>
      </c>
      <c r="D424" s="59">
        <f>91130.1*1.18</f>
        <v>107533.518</v>
      </c>
      <c r="E424" s="60" t="s">
        <v>555</v>
      </c>
      <c r="F424" s="60" t="s">
        <v>554</v>
      </c>
      <c r="G424" s="61">
        <f>91130.1*1.18</f>
        <v>107533.518</v>
      </c>
      <c r="H424" s="62">
        <v>42429</v>
      </c>
      <c r="I424" s="62">
        <v>42429</v>
      </c>
      <c r="J424" s="63">
        <v>107533.52000000002</v>
      </c>
    </row>
    <row r="425" spans="1:10" s="7" customFormat="1" ht="17.25" outlineLevel="1" thickBot="1" x14ac:dyDescent="0.3">
      <c r="A425" s="686" t="s">
        <v>628</v>
      </c>
      <c r="B425" s="687"/>
      <c r="C425" s="206"/>
      <c r="D425" s="157">
        <f>SUM(D423:D424)</f>
        <v>6190682.7680000002</v>
      </c>
      <c r="E425" s="88"/>
      <c r="F425" s="88"/>
      <c r="G425" s="158">
        <f>SUM(G423:G424)</f>
        <v>7098134.6979999999</v>
      </c>
      <c r="H425" s="124"/>
      <c r="I425" s="130"/>
      <c r="J425" s="157">
        <f>SUM(J423:J424)</f>
        <v>6190682.7699999996</v>
      </c>
    </row>
    <row r="426" spans="1:10" s="5" customFormat="1" ht="49.5" x14ac:dyDescent="0.25">
      <c r="A426" s="688">
        <v>30</v>
      </c>
      <c r="B426" s="723" t="s">
        <v>2</v>
      </c>
      <c r="C426" s="51" t="s">
        <v>36</v>
      </c>
      <c r="D426" s="51">
        <v>1434254.85</v>
      </c>
      <c r="E426" s="70" t="s">
        <v>678</v>
      </c>
      <c r="F426" s="70" t="s">
        <v>596</v>
      </c>
      <c r="G426" s="148">
        <v>2116025.9700000002</v>
      </c>
      <c r="H426" s="50">
        <v>42475</v>
      </c>
      <c r="I426" s="50">
        <v>42474</v>
      </c>
      <c r="J426" s="51">
        <v>1434254.85</v>
      </c>
    </row>
    <row r="427" spans="1:10" s="7" customFormat="1" ht="33" outlineLevel="1" x14ac:dyDescent="0.25">
      <c r="A427" s="689"/>
      <c r="B427" s="721"/>
      <c r="C427" s="116" t="s">
        <v>37</v>
      </c>
      <c r="D427" s="59">
        <f>64016.27*1.18</f>
        <v>75539.198599999989</v>
      </c>
      <c r="E427" s="60" t="s">
        <v>547</v>
      </c>
      <c r="F427" s="60" t="s">
        <v>548</v>
      </c>
      <c r="G427" s="61">
        <v>75355.44</v>
      </c>
      <c r="H427" s="62">
        <v>42381</v>
      </c>
      <c r="I427" s="62">
        <v>42381</v>
      </c>
      <c r="J427" s="63">
        <v>75539.199999999997</v>
      </c>
    </row>
    <row r="428" spans="1:10" s="7" customFormat="1" ht="17.25" outlineLevel="1" thickBot="1" x14ac:dyDescent="0.3">
      <c r="A428" s="686" t="s">
        <v>628</v>
      </c>
      <c r="B428" s="687"/>
      <c r="C428" s="206"/>
      <c r="D428" s="157">
        <f>SUM(D426:D427)</f>
        <v>1509794.0486000001</v>
      </c>
      <c r="E428" s="88"/>
      <c r="F428" s="88"/>
      <c r="G428" s="158">
        <f>SUM(G426:G427)</f>
        <v>2191381.41</v>
      </c>
      <c r="H428" s="124"/>
      <c r="I428" s="231"/>
      <c r="J428" s="157">
        <f>SUM(J426:J427)</f>
        <v>1509794.05</v>
      </c>
    </row>
    <row r="429" spans="1:10" s="5" customFormat="1" ht="40.5" customHeight="1" x14ac:dyDescent="0.25">
      <c r="A429" s="688">
        <v>31</v>
      </c>
      <c r="B429" s="723" t="s">
        <v>114</v>
      </c>
      <c r="C429" s="51" t="s">
        <v>35</v>
      </c>
      <c r="D429" s="233">
        <v>139744.15100000001</v>
      </c>
      <c r="E429" s="690" t="s">
        <v>678</v>
      </c>
      <c r="F429" s="690" t="s">
        <v>596</v>
      </c>
      <c r="G429" s="148">
        <v>393253.34</v>
      </c>
      <c r="H429" s="675">
        <v>42475</v>
      </c>
      <c r="I429" s="50">
        <v>42444</v>
      </c>
      <c r="J429" s="51">
        <v>139741.51</v>
      </c>
    </row>
    <row r="430" spans="1:10" s="7" customFormat="1" ht="16.5" outlineLevel="1" x14ac:dyDescent="0.25">
      <c r="A430" s="689"/>
      <c r="B430" s="721"/>
      <c r="C430" s="52" t="s">
        <v>36</v>
      </c>
      <c r="D430" s="228">
        <v>171378.63</v>
      </c>
      <c r="E430" s="682"/>
      <c r="F430" s="682"/>
      <c r="G430" s="149">
        <v>401782.09</v>
      </c>
      <c r="H430" s="677"/>
      <c r="I430" s="76">
        <v>42444</v>
      </c>
      <c r="J430" s="107">
        <v>171378.63</v>
      </c>
    </row>
    <row r="431" spans="1:10" s="7" customFormat="1" ht="33" outlineLevel="1" x14ac:dyDescent="0.25">
      <c r="A431" s="689"/>
      <c r="B431" s="721"/>
      <c r="C431" s="116" t="s">
        <v>37</v>
      </c>
      <c r="D431" s="59">
        <v>36790.379999999997</v>
      </c>
      <c r="E431" s="60" t="s">
        <v>547</v>
      </c>
      <c r="F431" s="60" t="s">
        <v>548</v>
      </c>
      <c r="G431" s="61">
        <v>86610.57</v>
      </c>
      <c r="H431" s="62">
        <v>42381</v>
      </c>
      <c r="I431" s="62">
        <v>42381</v>
      </c>
      <c r="J431" s="63">
        <v>36790.379999999997</v>
      </c>
    </row>
    <row r="432" spans="1:10" s="7" customFormat="1" ht="17.25" outlineLevel="1" thickBot="1" x14ac:dyDescent="0.3">
      <c r="A432" s="686" t="s">
        <v>628</v>
      </c>
      <c r="B432" s="687"/>
      <c r="C432" s="206"/>
      <c r="D432" s="157">
        <f>SUM(D429:D431)</f>
        <v>347913.16100000002</v>
      </c>
      <c r="E432" s="65"/>
      <c r="F432" s="65"/>
      <c r="G432" s="158">
        <f>SUM(G429:G431)</f>
        <v>881646</v>
      </c>
      <c r="H432" s="69"/>
      <c r="I432" s="231"/>
      <c r="J432" s="157">
        <f>SUM(J429:J431)</f>
        <v>347910.52</v>
      </c>
    </row>
    <row r="433" spans="1:10" s="5" customFormat="1" ht="66" x14ac:dyDescent="0.25">
      <c r="A433" s="243">
        <v>32</v>
      </c>
      <c r="B433" s="244" t="s">
        <v>130</v>
      </c>
      <c r="C433" s="107" t="s">
        <v>500</v>
      </c>
      <c r="D433" s="107">
        <v>1300645.5900000001</v>
      </c>
      <c r="E433" s="105" t="s">
        <v>672</v>
      </c>
      <c r="F433" s="105" t="s">
        <v>655</v>
      </c>
      <c r="G433" s="226">
        <v>1413068.88</v>
      </c>
      <c r="H433" s="76">
        <v>42397</v>
      </c>
      <c r="I433" s="76">
        <v>42397</v>
      </c>
      <c r="J433" s="107">
        <v>1300645.5899999999</v>
      </c>
    </row>
    <row r="434" spans="1:10" s="7" customFormat="1" ht="17.25" outlineLevel="1" thickBot="1" x14ac:dyDescent="0.3">
      <c r="A434" s="686" t="s">
        <v>628</v>
      </c>
      <c r="B434" s="687"/>
      <c r="C434" s="206"/>
      <c r="D434" s="157">
        <f>SUM(D433:D433)</f>
        <v>1300645.5900000001</v>
      </c>
      <c r="E434" s="88"/>
      <c r="F434" s="88"/>
      <c r="G434" s="158">
        <f>SUM(G433:G433)</f>
        <v>1413068.88</v>
      </c>
      <c r="H434" s="124"/>
      <c r="I434" s="130"/>
      <c r="J434" s="157">
        <f>SUM(J433:J433)</f>
        <v>1300645.5899999999</v>
      </c>
    </row>
    <row r="435" spans="1:10" s="5" customFormat="1" ht="33" x14ac:dyDescent="0.25">
      <c r="A435" s="688">
        <v>33</v>
      </c>
      <c r="B435" s="723" t="s">
        <v>131</v>
      </c>
      <c r="C435" s="51" t="s">
        <v>500</v>
      </c>
      <c r="D435" s="51">
        <v>4161347.06</v>
      </c>
      <c r="E435" s="70" t="s">
        <v>767</v>
      </c>
      <c r="F435" s="70" t="s">
        <v>766</v>
      </c>
      <c r="G435" s="148">
        <v>3794665.71</v>
      </c>
      <c r="H435" s="50">
        <v>42564</v>
      </c>
      <c r="I435" s="50">
        <v>42545</v>
      </c>
      <c r="J435" s="51">
        <v>4161347.06</v>
      </c>
    </row>
    <row r="436" spans="1:10" s="7" customFormat="1" ht="33" outlineLevel="1" x14ac:dyDescent="0.25">
      <c r="A436" s="689"/>
      <c r="B436" s="721"/>
      <c r="C436" s="116" t="s">
        <v>37</v>
      </c>
      <c r="D436" s="59">
        <f>79166.3*1.18</f>
        <v>93416.233999999997</v>
      </c>
      <c r="E436" s="60" t="s">
        <v>555</v>
      </c>
      <c r="F436" s="60" t="s">
        <v>554</v>
      </c>
      <c r="G436" s="61">
        <f>79166.3*1.18</f>
        <v>93416.233999999997</v>
      </c>
      <c r="H436" s="62">
        <v>42429</v>
      </c>
      <c r="I436" s="62">
        <v>42429</v>
      </c>
      <c r="J436" s="63">
        <v>93416.23</v>
      </c>
    </row>
    <row r="437" spans="1:10" s="7" customFormat="1" ht="17.25" outlineLevel="1" thickBot="1" x14ac:dyDescent="0.3">
      <c r="A437" s="686" t="s">
        <v>628</v>
      </c>
      <c r="B437" s="687"/>
      <c r="C437" s="206"/>
      <c r="D437" s="157">
        <f>SUM(D435:D436)</f>
        <v>4254763.2939999998</v>
      </c>
      <c r="E437" s="65"/>
      <c r="F437" s="65"/>
      <c r="G437" s="158">
        <f>SUM(G435:G436)</f>
        <v>3888081.9440000001</v>
      </c>
      <c r="H437" s="69"/>
      <c r="I437" s="67"/>
      <c r="J437" s="157">
        <f>SUM(J435:J436)</f>
        <v>4254763.29</v>
      </c>
    </row>
    <row r="438" spans="1:10" s="5" customFormat="1" ht="66" x14ac:dyDescent="0.25">
      <c r="A438" s="234">
        <v>34</v>
      </c>
      <c r="B438" s="211" t="s">
        <v>132</v>
      </c>
      <c r="C438" s="51" t="s">
        <v>500</v>
      </c>
      <c r="D438" s="51">
        <v>2940083.28</v>
      </c>
      <c r="E438" s="50" t="s">
        <v>601</v>
      </c>
      <c r="F438" s="50" t="s">
        <v>602</v>
      </c>
      <c r="G438" s="148">
        <v>2744159.62</v>
      </c>
      <c r="H438" s="50">
        <v>42399</v>
      </c>
      <c r="I438" s="50">
        <v>42410</v>
      </c>
      <c r="J438" s="51">
        <v>2940083.2800000003</v>
      </c>
    </row>
    <row r="439" spans="1:10" s="7" customFormat="1" ht="17.25" outlineLevel="1" thickBot="1" x14ac:dyDescent="0.3">
      <c r="A439" s="724" t="s">
        <v>628</v>
      </c>
      <c r="B439" s="725"/>
      <c r="C439" s="208"/>
      <c r="D439" s="165">
        <f>SUM(D438:D438)</f>
        <v>2940083.28</v>
      </c>
      <c r="E439" s="90"/>
      <c r="F439" s="90"/>
      <c r="G439" s="166">
        <f>SUM(G438:G438)</f>
        <v>2744159.62</v>
      </c>
      <c r="H439" s="123"/>
      <c r="I439" s="108"/>
      <c r="J439" s="165">
        <f>SUM(J438:J438)</f>
        <v>2940083.2800000003</v>
      </c>
    </row>
    <row r="440" spans="1:10" s="5" customFormat="1" ht="33" x14ac:dyDescent="0.25">
      <c r="A440" s="688">
        <v>35</v>
      </c>
      <c r="B440" s="723" t="s">
        <v>133</v>
      </c>
      <c r="C440" s="51" t="s">
        <v>500</v>
      </c>
      <c r="D440" s="51">
        <v>5845595.2000000002</v>
      </c>
      <c r="E440" s="70" t="s">
        <v>813</v>
      </c>
      <c r="F440" s="70" t="s">
        <v>814</v>
      </c>
      <c r="G440" s="148">
        <v>6420332.75</v>
      </c>
      <c r="H440" s="50">
        <v>42582</v>
      </c>
      <c r="I440" s="50">
        <v>42615</v>
      </c>
      <c r="J440" s="51">
        <v>5845595.2000000002</v>
      </c>
    </row>
    <row r="441" spans="1:10" s="7" customFormat="1" ht="33" outlineLevel="1" x14ac:dyDescent="0.25">
      <c r="A441" s="689"/>
      <c r="B441" s="721"/>
      <c r="C441" s="116" t="s">
        <v>37</v>
      </c>
      <c r="D441" s="59">
        <f>97078.59*1.18</f>
        <v>114552.73619999998</v>
      </c>
      <c r="E441" s="60" t="s">
        <v>555</v>
      </c>
      <c r="F441" s="60" t="s">
        <v>554</v>
      </c>
      <c r="G441" s="61">
        <f>97078.59*1.18</f>
        <v>114552.73619999998</v>
      </c>
      <c r="H441" s="62">
        <v>42429</v>
      </c>
      <c r="I441" s="62">
        <v>42429</v>
      </c>
      <c r="J441" s="63">
        <v>114552.74</v>
      </c>
    </row>
    <row r="442" spans="1:10" s="7" customFormat="1" ht="17.25" outlineLevel="1" thickBot="1" x14ac:dyDescent="0.3">
      <c r="A442" s="686" t="s">
        <v>628</v>
      </c>
      <c r="B442" s="687"/>
      <c r="C442" s="206"/>
      <c r="D442" s="157">
        <f>SUM(D440:D441)</f>
        <v>5960147.9362000003</v>
      </c>
      <c r="E442" s="65"/>
      <c r="F442" s="65"/>
      <c r="G442" s="158">
        <f>SUM(G440:G441)</f>
        <v>6534885.4862000002</v>
      </c>
      <c r="H442" s="69"/>
      <c r="I442" s="67"/>
      <c r="J442" s="157">
        <f>SUM(J440:J441)</f>
        <v>5960147.9400000004</v>
      </c>
    </row>
    <row r="443" spans="1:10" s="5" customFormat="1" ht="33" x14ac:dyDescent="0.25">
      <c r="A443" s="688">
        <v>36</v>
      </c>
      <c r="B443" s="723" t="s">
        <v>134</v>
      </c>
      <c r="C443" s="51" t="s">
        <v>500</v>
      </c>
      <c r="D443" s="51">
        <v>12792831.83</v>
      </c>
      <c r="E443" s="70" t="s">
        <v>767</v>
      </c>
      <c r="F443" s="70" t="s">
        <v>766</v>
      </c>
      <c r="G443" s="148">
        <v>12624790.560000001</v>
      </c>
      <c r="H443" s="50">
        <v>42564</v>
      </c>
      <c r="I443" s="50">
        <v>42556</v>
      </c>
      <c r="J443" s="51">
        <v>12792831.83</v>
      </c>
    </row>
    <row r="444" spans="1:10" s="7" customFormat="1" ht="33" outlineLevel="1" x14ac:dyDescent="0.25">
      <c r="A444" s="689"/>
      <c r="B444" s="721"/>
      <c r="C444" s="116" t="s">
        <v>37</v>
      </c>
      <c r="D444" s="59">
        <f>112071.52*1.18</f>
        <v>132244.39360000001</v>
      </c>
      <c r="E444" s="60" t="s">
        <v>555</v>
      </c>
      <c r="F444" s="60" t="s">
        <v>554</v>
      </c>
      <c r="G444" s="61">
        <f>112071.52*1.18</f>
        <v>132244.39360000001</v>
      </c>
      <c r="H444" s="62">
        <v>42429</v>
      </c>
      <c r="I444" s="62">
        <v>42429</v>
      </c>
      <c r="J444" s="63">
        <v>132244.39000000001</v>
      </c>
    </row>
    <row r="445" spans="1:10" s="7" customFormat="1" ht="17.25" outlineLevel="1" thickBot="1" x14ac:dyDescent="0.3">
      <c r="A445" s="686" t="s">
        <v>628</v>
      </c>
      <c r="B445" s="687"/>
      <c r="C445" s="206"/>
      <c r="D445" s="157">
        <f>SUM(D443:D444)</f>
        <v>12925076.2236</v>
      </c>
      <c r="E445" s="88"/>
      <c r="F445" s="88"/>
      <c r="G445" s="158">
        <f>SUM(G443:G444)</f>
        <v>12757034.953600001</v>
      </c>
      <c r="H445" s="124"/>
      <c r="I445" s="130"/>
      <c r="J445" s="157">
        <f>SUM(J443:J444)</f>
        <v>12925076.220000001</v>
      </c>
    </row>
    <row r="446" spans="1:10" s="5" customFormat="1" ht="33" x14ac:dyDescent="0.25">
      <c r="A446" s="688">
        <v>37</v>
      </c>
      <c r="B446" s="723" t="s">
        <v>135</v>
      </c>
      <c r="C446" s="51" t="s">
        <v>500</v>
      </c>
      <c r="D446" s="51">
        <v>5803718.9400000004</v>
      </c>
      <c r="E446" s="70" t="s">
        <v>750</v>
      </c>
      <c r="F446" s="70" t="s">
        <v>751</v>
      </c>
      <c r="G446" s="148">
        <v>6264464.3899999997</v>
      </c>
      <c r="H446" s="50">
        <v>42515</v>
      </c>
      <c r="I446" s="50">
        <v>42522</v>
      </c>
      <c r="J446" s="51">
        <v>5803718.9403839996</v>
      </c>
    </row>
    <row r="447" spans="1:10" s="7" customFormat="1" ht="33" outlineLevel="1" x14ac:dyDescent="0.25">
      <c r="A447" s="689"/>
      <c r="B447" s="721"/>
      <c r="C447" s="116" t="s">
        <v>37</v>
      </c>
      <c r="D447" s="59">
        <v>106268.13</v>
      </c>
      <c r="E447" s="60" t="s">
        <v>557</v>
      </c>
      <c r="F447" s="60" t="s">
        <v>548</v>
      </c>
      <c r="G447" s="61">
        <v>106268.12</v>
      </c>
      <c r="H447" s="62">
        <v>42424</v>
      </c>
      <c r="I447" s="62">
        <v>42415</v>
      </c>
      <c r="J447" s="63">
        <v>106268.13</v>
      </c>
    </row>
    <row r="448" spans="1:10" s="7" customFormat="1" ht="17.25" outlineLevel="1" thickBot="1" x14ac:dyDescent="0.3">
      <c r="A448" s="724" t="s">
        <v>628</v>
      </c>
      <c r="B448" s="725"/>
      <c r="C448" s="208"/>
      <c r="D448" s="157">
        <f>SUM(D446:D447)</f>
        <v>5909987.0700000003</v>
      </c>
      <c r="E448" s="90"/>
      <c r="F448" s="90"/>
      <c r="G448" s="158">
        <f>SUM(G446:G447)</f>
        <v>6370732.5099999998</v>
      </c>
      <c r="H448" s="123"/>
      <c r="I448" s="108"/>
      <c r="J448" s="157">
        <f>SUM(J446:J447)</f>
        <v>5909987.0703839995</v>
      </c>
    </row>
    <row r="449" spans="1:10" s="5" customFormat="1" ht="33" x14ac:dyDescent="0.25">
      <c r="A449" s="688">
        <v>38</v>
      </c>
      <c r="B449" s="723" t="s">
        <v>136</v>
      </c>
      <c r="C449" s="51" t="s">
        <v>500</v>
      </c>
      <c r="D449" s="51">
        <v>5741028.2800000003</v>
      </c>
      <c r="E449" s="70" t="s">
        <v>737</v>
      </c>
      <c r="F449" s="70" t="s">
        <v>686</v>
      </c>
      <c r="G449" s="148">
        <v>5741089.1100000003</v>
      </c>
      <c r="H449" s="50">
        <v>42541</v>
      </c>
      <c r="I449" s="50">
        <v>42681</v>
      </c>
      <c r="J449" s="245">
        <v>5741028.2800000003</v>
      </c>
    </row>
    <row r="450" spans="1:10" s="5" customFormat="1" ht="33" x14ac:dyDescent="0.25">
      <c r="A450" s="722"/>
      <c r="B450" s="720"/>
      <c r="C450" s="107" t="s">
        <v>921</v>
      </c>
      <c r="D450" s="107">
        <v>1030578</v>
      </c>
      <c r="E450" s="105" t="s">
        <v>922</v>
      </c>
      <c r="F450" s="105" t="s">
        <v>686</v>
      </c>
      <c r="G450" s="226">
        <v>1182142.8799999999</v>
      </c>
      <c r="H450" s="76">
        <v>42613</v>
      </c>
      <c r="I450" s="76">
        <v>42618</v>
      </c>
      <c r="J450" s="52">
        <v>1030578</v>
      </c>
    </row>
    <row r="451" spans="1:10" s="7" customFormat="1" ht="33" outlineLevel="1" x14ac:dyDescent="0.25">
      <c r="A451" s="689"/>
      <c r="B451" s="721"/>
      <c r="C451" s="116" t="s">
        <v>37</v>
      </c>
      <c r="D451" s="59">
        <f>77894.13*1.18</f>
        <v>91915.073399999994</v>
      </c>
      <c r="E451" s="60" t="s">
        <v>557</v>
      </c>
      <c r="F451" s="60" t="s">
        <v>548</v>
      </c>
      <c r="G451" s="61">
        <f>77894.13*1.18</f>
        <v>91915.073399999994</v>
      </c>
      <c r="H451" s="62">
        <v>42424</v>
      </c>
      <c r="I451" s="62">
        <v>42415</v>
      </c>
      <c r="J451" s="63">
        <v>91915.07</v>
      </c>
    </row>
    <row r="452" spans="1:10" s="7" customFormat="1" ht="17.25" outlineLevel="1" thickBot="1" x14ac:dyDescent="0.3">
      <c r="A452" s="686" t="s">
        <v>628</v>
      </c>
      <c r="B452" s="687"/>
      <c r="C452" s="206"/>
      <c r="D452" s="157">
        <f>SUM(D449:D451)</f>
        <v>6863521.3534000004</v>
      </c>
      <c r="E452" s="88"/>
      <c r="F452" s="88"/>
      <c r="G452" s="158">
        <f>SUM(G449:G451)</f>
        <v>7015147.0634000003</v>
      </c>
      <c r="H452" s="124"/>
      <c r="I452" s="130"/>
      <c r="J452" s="157">
        <f>SUM(J449:J451)</f>
        <v>6863521.3500000006</v>
      </c>
    </row>
    <row r="453" spans="1:10" s="5" customFormat="1" ht="33.75" customHeight="1" x14ac:dyDescent="0.25">
      <c r="A453" s="688">
        <v>39</v>
      </c>
      <c r="B453" s="723" t="s">
        <v>116</v>
      </c>
      <c r="C453" s="51" t="s">
        <v>34</v>
      </c>
      <c r="D453" s="51">
        <v>6325272.96</v>
      </c>
      <c r="E453" s="70" t="s">
        <v>738</v>
      </c>
      <c r="F453" s="70" t="s">
        <v>686</v>
      </c>
      <c r="G453" s="148">
        <v>7048874.8799999999</v>
      </c>
      <c r="H453" s="50">
        <v>42536</v>
      </c>
      <c r="I453" s="50">
        <v>42536</v>
      </c>
      <c r="J453" s="51">
        <v>6325272.96</v>
      </c>
    </row>
    <row r="454" spans="1:10" s="7" customFormat="1" ht="33" outlineLevel="1" x14ac:dyDescent="0.25">
      <c r="A454" s="689"/>
      <c r="B454" s="721"/>
      <c r="C454" s="121" t="s">
        <v>501</v>
      </c>
      <c r="D454" s="121">
        <v>7189423.7599999998</v>
      </c>
      <c r="E454" s="140" t="s">
        <v>1062</v>
      </c>
      <c r="F454" s="194" t="s">
        <v>1063</v>
      </c>
      <c r="G454" s="207">
        <v>7189423.7599999998</v>
      </c>
      <c r="H454" s="55">
        <v>42916</v>
      </c>
      <c r="I454" s="56"/>
      <c r="J454" s="57"/>
    </row>
    <row r="455" spans="1:10" s="7" customFormat="1" ht="33" outlineLevel="1" x14ac:dyDescent="0.25">
      <c r="A455" s="689"/>
      <c r="B455" s="721"/>
      <c r="C455" s="116" t="s">
        <v>37</v>
      </c>
      <c r="D455" s="59">
        <f>179610.5*1.18</f>
        <v>211940.38999999998</v>
      </c>
      <c r="E455" s="60" t="s">
        <v>547</v>
      </c>
      <c r="F455" s="60" t="s">
        <v>548</v>
      </c>
      <c r="G455" s="61">
        <v>211424.83</v>
      </c>
      <c r="H455" s="62">
        <v>42381</v>
      </c>
      <c r="I455" s="62">
        <v>42381</v>
      </c>
      <c r="J455" s="63">
        <v>211940.39</v>
      </c>
    </row>
    <row r="456" spans="1:10" s="7" customFormat="1" ht="17.25" outlineLevel="1" thickBot="1" x14ac:dyDescent="0.3">
      <c r="A456" s="724" t="s">
        <v>628</v>
      </c>
      <c r="B456" s="725"/>
      <c r="C456" s="208"/>
      <c r="D456" s="157">
        <f>SUM(D453:D455)</f>
        <v>13726637.109999999</v>
      </c>
      <c r="E456" s="90"/>
      <c r="F456" s="208"/>
      <c r="G456" s="158">
        <f>SUM(G453:G455)</f>
        <v>14449723.470000001</v>
      </c>
      <c r="H456" s="123"/>
      <c r="I456" s="108"/>
      <c r="J456" s="157">
        <f>SUM(J453:J455)</f>
        <v>6537213.3499999996</v>
      </c>
    </row>
    <row r="457" spans="1:10" s="5" customFormat="1" ht="66" x14ac:dyDescent="0.25">
      <c r="A457" s="234">
        <v>40</v>
      </c>
      <c r="B457" s="211" t="s">
        <v>137</v>
      </c>
      <c r="C457" s="51" t="s">
        <v>500</v>
      </c>
      <c r="D457" s="51">
        <v>2666467.2200000002</v>
      </c>
      <c r="E457" s="70" t="s">
        <v>604</v>
      </c>
      <c r="F457" s="50" t="s">
        <v>603</v>
      </c>
      <c r="G457" s="148">
        <v>2588000</v>
      </c>
      <c r="H457" s="50">
        <v>42415</v>
      </c>
      <c r="I457" s="50">
        <v>42433</v>
      </c>
      <c r="J457" s="51">
        <v>2666467.2200000002</v>
      </c>
    </row>
    <row r="458" spans="1:10" s="7" customFormat="1" ht="17.25" outlineLevel="1" thickBot="1" x14ac:dyDescent="0.3">
      <c r="A458" s="686" t="s">
        <v>628</v>
      </c>
      <c r="B458" s="687"/>
      <c r="C458" s="206"/>
      <c r="D458" s="157">
        <f>SUM(D457:D457)</f>
        <v>2666467.2200000002</v>
      </c>
      <c r="E458" s="88"/>
      <c r="F458" s="88"/>
      <c r="G458" s="158">
        <f>SUM(G457:G457)</f>
        <v>2588000</v>
      </c>
      <c r="H458" s="124"/>
      <c r="I458" s="130"/>
      <c r="J458" s="157">
        <f>SUM(J457:J457)</f>
        <v>2666467.2200000002</v>
      </c>
    </row>
    <row r="459" spans="1:10" s="5" customFormat="1" ht="33" x14ac:dyDescent="0.25">
      <c r="A459" s="688">
        <v>41</v>
      </c>
      <c r="B459" s="723" t="s">
        <v>138</v>
      </c>
      <c r="C459" s="51" t="s">
        <v>500</v>
      </c>
      <c r="D459" s="51">
        <v>5912748.9100000001</v>
      </c>
      <c r="E459" s="70" t="s">
        <v>750</v>
      </c>
      <c r="F459" s="70" t="s">
        <v>751</v>
      </c>
      <c r="G459" s="148">
        <v>6251428.6299999999</v>
      </c>
      <c r="H459" s="50">
        <v>42515</v>
      </c>
      <c r="I459" s="50">
        <v>42522</v>
      </c>
      <c r="J459" s="51">
        <v>5912748.9100000011</v>
      </c>
    </row>
    <row r="460" spans="1:10" s="7" customFormat="1" ht="33" outlineLevel="1" x14ac:dyDescent="0.25">
      <c r="A460" s="689"/>
      <c r="B460" s="721"/>
      <c r="C460" s="116" t="s">
        <v>37</v>
      </c>
      <c r="D460" s="59">
        <f>82174.11*1.18</f>
        <v>96965.449800000002</v>
      </c>
      <c r="E460" s="60" t="s">
        <v>551</v>
      </c>
      <c r="F460" s="60" t="s">
        <v>552</v>
      </c>
      <c r="G460" s="61">
        <v>96965.45</v>
      </c>
      <c r="H460" s="62">
        <v>42346</v>
      </c>
      <c r="I460" s="62">
        <v>42706</v>
      </c>
      <c r="J460" s="63">
        <v>96965.450000000012</v>
      </c>
    </row>
    <row r="461" spans="1:10" s="7" customFormat="1" ht="17.25" outlineLevel="1" thickBot="1" x14ac:dyDescent="0.3">
      <c r="A461" s="686" t="s">
        <v>628</v>
      </c>
      <c r="B461" s="687"/>
      <c r="C461" s="206"/>
      <c r="D461" s="157">
        <f>SUM(D459:D460)</f>
        <v>6009714.3597999997</v>
      </c>
      <c r="E461" s="88"/>
      <c r="F461" s="88"/>
      <c r="G461" s="158">
        <f>SUM(G459:G460)</f>
        <v>6348394.0800000001</v>
      </c>
      <c r="H461" s="124"/>
      <c r="I461" s="130"/>
      <c r="J461" s="157">
        <f>SUM(J459:J460)</f>
        <v>6009714.3600000013</v>
      </c>
    </row>
    <row r="462" spans="1:10" s="5" customFormat="1" ht="66" x14ac:dyDescent="0.25">
      <c r="A462" s="234">
        <v>42</v>
      </c>
      <c r="B462" s="211" t="s">
        <v>139</v>
      </c>
      <c r="C462" s="51" t="s">
        <v>500</v>
      </c>
      <c r="D462" s="51">
        <v>2166473.44</v>
      </c>
      <c r="E462" s="70" t="s">
        <v>605</v>
      </c>
      <c r="F462" s="50" t="s">
        <v>603</v>
      </c>
      <c r="G462" s="148">
        <v>2150000</v>
      </c>
      <c r="H462" s="50">
        <v>42415</v>
      </c>
      <c r="I462" s="50">
        <v>42433</v>
      </c>
      <c r="J462" s="51">
        <v>2166473.44</v>
      </c>
    </row>
    <row r="463" spans="1:10" s="7" customFormat="1" ht="17.25" outlineLevel="1" thickBot="1" x14ac:dyDescent="0.3">
      <c r="A463" s="686" t="s">
        <v>628</v>
      </c>
      <c r="B463" s="687"/>
      <c r="C463" s="206"/>
      <c r="D463" s="157">
        <f>SUM(D462:D462)</f>
        <v>2166473.44</v>
      </c>
      <c r="E463" s="88"/>
      <c r="F463" s="88"/>
      <c r="G463" s="158">
        <f>SUM(G462:G462)</f>
        <v>2150000</v>
      </c>
      <c r="H463" s="124"/>
      <c r="I463" s="130"/>
      <c r="J463" s="157">
        <f>SUM(J462:J462)</f>
        <v>2166473.44</v>
      </c>
    </row>
    <row r="464" spans="1:10" s="5" customFormat="1" ht="16.5" x14ac:dyDescent="0.25">
      <c r="A464" s="688">
        <v>43</v>
      </c>
      <c r="B464" s="723" t="s">
        <v>3</v>
      </c>
      <c r="C464" s="51" t="s">
        <v>34</v>
      </c>
      <c r="D464" s="51">
        <v>5106515.8899999997</v>
      </c>
      <c r="E464" s="690" t="s">
        <v>738</v>
      </c>
      <c r="F464" s="690" t="s">
        <v>686</v>
      </c>
      <c r="G464" s="148">
        <v>5227397.45</v>
      </c>
      <c r="H464" s="50">
        <v>42536</v>
      </c>
      <c r="I464" s="675">
        <v>42566</v>
      </c>
      <c r="J464" s="51">
        <v>5106515.8899999997</v>
      </c>
    </row>
    <row r="465" spans="1:10" s="7" customFormat="1" ht="16.5" outlineLevel="1" x14ac:dyDescent="0.25">
      <c r="A465" s="689"/>
      <c r="B465" s="721"/>
      <c r="C465" s="52" t="s">
        <v>35</v>
      </c>
      <c r="D465" s="52">
        <v>805130.5</v>
      </c>
      <c r="E465" s="682"/>
      <c r="F465" s="682"/>
      <c r="G465" s="149">
        <v>824188.67</v>
      </c>
      <c r="H465" s="75">
        <v>42505</v>
      </c>
      <c r="I465" s="679"/>
      <c r="J465" s="52">
        <v>805130.5</v>
      </c>
    </row>
    <row r="466" spans="1:10" s="7" customFormat="1" ht="49.5" outlineLevel="1" x14ac:dyDescent="0.25">
      <c r="A466" s="689"/>
      <c r="B466" s="721"/>
      <c r="C466" s="52" t="s">
        <v>500</v>
      </c>
      <c r="D466" s="52">
        <v>3826488.66</v>
      </c>
      <c r="E466" s="91" t="s">
        <v>597</v>
      </c>
      <c r="F466" s="91" t="s">
        <v>596</v>
      </c>
      <c r="G466" s="149">
        <v>4049238.44</v>
      </c>
      <c r="H466" s="75">
        <v>42399</v>
      </c>
      <c r="I466" s="75">
        <v>42405</v>
      </c>
      <c r="J466" s="52">
        <v>3826488.66</v>
      </c>
    </row>
    <row r="467" spans="1:10" s="7" customFormat="1" ht="33" outlineLevel="1" x14ac:dyDescent="0.25">
      <c r="A467" s="689"/>
      <c r="B467" s="721"/>
      <c r="C467" s="121" t="s">
        <v>501</v>
      </c>
      <c r="D467" s="121">
        <v>4695745.0999999996</v>
      </c>
      <c r="E467" s="194" t="s">
        <v>1062</v>
      </c>
      <c r="F467" s="194" t="s">
        <v>1063</v>
      </c>
      <c r="G467" s="207">
        <v>4695745.0999999996</v>
      </c>
      <c r="H467" s="55">
        <v>42916</v>
      </c>
      <c r="I467" s="56"/>
      <c r="J467" s="138"/>
    </row>
    <row r="468" spans="1:10" s="7" customFormat="1" ht="33" outlineLevel="1" x14ac:dyDescent="0.25">
      <c r="A468" s="689"/>
      <c r="B468" s="721"/>
      <c r="C468" s="116" t="s">
        <v>37</v>
      </c>
      <c r="D468" s="59">
        <f>284602.95*1.18</f>
        <v>335831.48099999997</v>
      </c>
      <c r="E468" s="60" t="s">
        <v>547</v>
      </c>
      <c r="F468" s="60" t="s">
        <v>548</v>
      </c>
      <c r="G468" s="61">
        <v>335014.53999999998</v>
      </c>
      <c r="H468" s="62">
        <v>42381</v>
      </c>
      <c r="I468" s="62">
        <v>42381</v>
      </c>
      <c r="J468" s="63">
        <v>335831.48</v>
      </c>
    </row>
    <row r="469" spans="1:10" s="7" customFormat="1" ht="17.25" outlineLevel="1" thickBot="1" x14ac:dyDescent="0.3">
      <c r="A469" s="686" t="s">
        <v>628</v>
      </c>
      <c r="B469" s="687"/>
      <c r="C469" s="206"/>
      <c r="D469" s="157">
        <f>SUM(D464:D468)</f>
        <v>14769711.631000001</v>
      </c>
      <c r="E469" s="88"/>
      <c r="F469" s="88"/>
      <c r="G469" s="158">
        <f>SUM(G464:G468)</f>
        <v>15131584.199999999</v>
      </c>
      <c r="H469" s="124"/>
      <c r="I469" s="130"/>
      <c r="J469" s="157">
        <f>SUM(J464:J468)</f>
        <v>10073966.530000001</v>
      </c>
    </row>
    <row r="470" spans="1:10" s="5" customFormat="1" ht="49.5" customHeight="1" x14ac:dyDescent="0.25">
      <c r="A470" s="688">
        <v>44</v>
      </c>
      <c r="B470" s="723" t="s">
        <v>117</v>
      </c>
      <c r="C470" s="51" t="s">
        <v>36</v>
      </c>
      <c r="D470" s="51">
        <v>777583.25</v>
      </c>
      <c r="E470" s="70" t="s">
        <v>820</v>
      </c>
      <c r="F470" s="70" t="s">
        <v>596</v>
      </c>
      <c r="G470" s="148">
        <v>900000</v>
      </c>
      <c r="H470" s="50">
        <v>42592</v>
      </c>
      <c r="I470" s="50">
        <v>42655</v>
      </c>
      <c r="J470" s="51">
        <v>777583.25</v>
      </c>
    </row>
    <row r="471" spans="1:10" s="5" customFormat="1" ht="33" x14ac:dyDescent="0.25">
      <c r="A471" s="689"/>
      <c r="B471" s="721"/>
      <c r="C471" s="116" t="s">
        <v>37</v>
      </c>
      <c r="D471" s="63">
        <f>72369.1*1.18</f>
        <v>85395.538</v>
      </c>
      <c r="E471" s="60" t="s">
        <v>557</v>
      </c>
      <c r="F471" s="60" t="s">
        <v>548</v>
      </c>
      <c r="G471" s="237">
        <f>72369.1*1.18</f>
        <v>85395.538</v>
      </c>
      <c r="H471" s="62">
        <v>42424</v>
      </c>
      <c r="I471" s="62">
        <v>42415</v>
      </c>
      <c r="J471" s="63">
        <v>85395.54</v>
      </c>
    </row>
    <row r="472" spans="1:10" s="7" customFormat="1" ht="49.5" outlineLevel="1" x14ac:dyDescent="0.25">
      <c r="A472" s="689"/>
      <c r="B472" s="721"/>
      <c r="C472" s="52" t="s">
        <v>500</v>
      </c>
      <c r="D472" s="52">
        <v>3589429.02</v>
      </c>
      <c r="E472" s="91" t="s">
        <v>597</v>
      </c>
      <c r="F472" s="91" t="s">
        <v>596</v>
      </c>
      <c r="G472" s="149">
        <v>3537867.74</v>
      </c>
      <c r="H472" s="75">
        <v>42399</v>
      </c>
      <c r="I472" s="75">
        <v>42405</v>
      </c>
      <c r="J472" s="52">
        <v>3589429.02</v>
      </c>
    </row>
    <row r="473" spans="1:10" s="7" customFormat="1" ht="33" outlineLevel="1" x14ac:dyDescent="0.25">
      <c r="A473" s="689"/>
      <c r="B473" s="721"/>
      <c r="C473" s="121" t="s">
        <v>501</v>
      </c>
      <c r="D473" s="121">
        <v>4645231.66</v>
      </c>
      <c r="E473" s="194" t="s">
        <v>1062</v>
      </c>
      <c r="F473" s="194" t="s">
        <v>1063</v>
      </c>
      <c r="G473" s="207">
        <v>4645231.66</v>
      </c>
      <c r="H473" s="55">
        <v>42885</v>
      </c>
      <c r="I473" s="56"/>
      <c r="J473" s="57"/>
    </row>
    <row r="474" spans="1:10" s="7" customFormat="1" ht="33" outlineLevel="1" x14ac:dyDescent="0.25">
      <c r="A474" s="689"/>
      <c r="B474" s="721"/>
      <c r="C474" s="116" t="s">
        <v>37</v>
      </c>
      <c r="D474" s="59">
        <f>159708.29*1.18</f>
        <v>188455.78219999999</v>
      </c>
      <c r="E474" s="60" t="s">
        <v>547</v>
      </c>
      <c r="F474" s="60" t="s">
        <v>548</v>
      </c>
      <c r="G474" s="61">
        <v>187997.35200000001</v>
      </c>
      <c r="H474" s="62">
        <v>42381</v>
      </c>
      <c r="I474" s="62">
        <v>42381</v>
      </c>
      <c r="J474" s="63">
        <v>188455.78</v>
      </c>
    </row>
    <row r="475" spans="1:10" s="7" customFormat="1" ht="17.25" outlineLevel="1" thickBot="1" x14ac:dyDescent="0.3">
      <c r="A475" s="724" t="s">
        <v>628</v>
      </c>
      <c r="B475" s="725"/>
      <c r="C475" s="208"/>
      <c r="D475" s="165">
        <f>SUM(D470:D474)</f>
        <v>9286095.2501999997</v>
      </c>
      <c r="E475" s="90"/>
      <c r="F475" s="90"/>
      <c r="G475" s="166">
        <f>SUM(G470:G474)</f>
        <v>9356492.290000001</v>
      </c>
      <c r="H475" s="123"/>
      <c r="I475" s="246"/>
      <c r="J475" s="165">
        <f>SUM(J470:J474)</f>
        <v>4640863.5900000008</v>
      </c>
    </row>
    <row r="476" spans="1:10" s="5" customFormat="1" ht="33" x14ac:dyDescent="0.25">
      <c r="A476" s="688">
        <v>45</v>
      </c>
      <c r="B476" s="723" t="s">
        <v>118</v>
      </c>
      <c r="C476" s="51" t="s">
        <v>501</v>
      </c>
      <c r="D476" s="51">
        <v>9107000</v>
      </c>
      <c r="E476" s="652" t="s">
        <v>1153</v>
      </c>
      <c r="F476" s="652" t="s">
        <v>669</v>
      </c>
      <c r="G476" s="148">
        <v>8067550.2599999998</v>
      </c>
      <c r="H476" s="649">
        <v>42855</v>
      </c>
      <c r="I476" s="649">
        <v>42895</v>
      </c>
      <c r="J476" s="51">
        <v>7762686.6399999997</v>
      </c>
    </row>
    <row r="477" spans="1:10" s="7" customFormat="1" ht="33" outlineLevel="1" x14ac:dyDescent="0.25">
      <c r="A477" s="689"/>
      <c r="B477" s="721"/>
      <c r="C477" s="116" t="s">
        <v>37</v>
      </c>
      <c r="D477" s="59">
        <f>84908.76*1.18</f>
        <v>100192.33679999999</v>
      </c>
      <c r="E477" s="60" t="s">
        <v>547</v>
      </c>
      <c r="F477" s="60" t="s">
        <v>548</v>
      </c>
      <c r="G477" s="61">
        <v>99948.61</v>
      </c>
      <c r="H477" s="62">
        <v>42381</v>
      </c>
      <c r="I477" s="62">
        <v>42381</v>
      </c>
      <c r="J477" s="63">
        <v>100192.34</v>
      </c>
    </row>
    <row r="478" spans="1:10" s="7" customFormat="1" ht="17.25" outlineLevel="1" thickBot="1" x14ac:dyDescent="0.3">
      <c r="A478" s="686" t="s">
        <v>628</v>
      </c>
      <c r="B478" s="687"/>
      <c r="C478" s="206"/>
      <c r="D478" s="157">
        <f>SUM(D476:D477)</f>
        <v>9207192.3367999997</v>
      </c>
      <c r="E478" s="88"/>
      <c r="F478" s="88"/>
      <c r="G478" s="158">
        <f>SUM(G476:G477)</f>
        <v>8167498.8700000001</v>
      </c>
      <c r="H478" s="124"/>
      <c r="I478" s="130"/>
      <c r="J478" s="157">
        <f>SUM(J476:J477)</f>
        <v>7862878.9799999995</v>
      </c>
    </row>
    <row r="479" spans="1:10" s="5" customFormat="1" ht="49.5" x14ac:dyDescent="0.25">
      <c r="A479" s="688">
        <v>46</v>
      </c>
      <c r="B479" s="723" t="s">
        <v>119</v>
      </c>
      <c r="C479" s="48" t="s">
        <v>500</v>
      </c>
      <c r="D479" s="48">
        <v>5404479.0599999996</v>
      </c>
      <c r="E479" s="109" t="s">
        <v>595</v>
      </c>
      <c r="F479" s="109" t="s">
        <v>596</v>
      </c>
      <c r="G479" s="49">
        <v>5647612.1600000001</v>
      </c>
      <c r="H479" s="235">
        <v>42394</v>
      </c>
      <c r="I479" s="235">
        <v>42405</v>
      </c>
      <c r="J479" s="48">
        <v>5404479.0599999996</v>
      </c>
    </row>
    <row r="480" spans="1:10" s="7" customFormat="1" ht="33" outlineLevel="1" x14ac:dyDescent="0.25">
      <c r="A480" s="689"/>
      <c r="B480" s="721"/>
      <c r="C480" s="121" t="s">
        <v>501</v>
      </c>
      <c r="D480" s="121">
        <v>7904823.54</v>
      </c>
      <c r="E480" s="194" t="s">
        <v>1062</v>
      </c>
      <c r="F480" s="194" t="s">
        <v>1063</v>
      </c>
      <c r="G480" s="207">
        <v>7904823.54</v>
      </c>
      <c r="H480" s="55">
        <v>42885</v>
      </c>
      <c r="I480" s="56"/>
      <c r="J480" s="57"/>
    </row>
    <row r="481" spans="1:10" s="7" customFormat="1" ht="33" outlineLevel="1" x14ac:dyDescent="0.25">
      <c r="A481" s="689"/>
      <c r="B481" s="721"/>
      <c r="C481" s="116" t="s">
        <v>37</v>
      </c>
      <c r="D481" s="59">
        <f>177093.11*1.18</f>
        <v>208969.86979999999</v>
      </c>
      <c r="E481" s="60" t="s">
        <v>547</v>
      </c>
      <c r="F481" s="60" t="s">
        <v>548</v>
      </c>
      <c r="G481" s="61">
        <v>208461.53</v>
      </c>
      <c r="H481" s="62">
        <v>42381</v>
      </c>
      <c r="I481" s="62">
        <v>42381</v>
      </c>
      <c r="J481" s="63">
        <v>208969.87</v>
      </c>
    </row>
    <row r="482" spans="1:10" s="7" customFormat="1" ht="17.25" outlineLevel="1" thickBot="1" x14ac:dyDescent="0.3">
      <c r="A482" s="686" t="s">
        <v>628</v>
      </c>
      <c r="B482" s="687"/>
      <c r="C482" s="206"/>
      <c r="D482" s="157">
        <f>SUM(D479:D481)</f>
        <v>13518272.469799999</v>
      </c>
      <c r="E482" s="88"/>
      <c r="F482" s="88"/>
      <c r="G482" s="158">
        <f>SUM(G479:G481)</f>
        <v>13760897.229999999</v>
      </c>
      <c r="H482" s="124"/>
      <c r="I482" s="130"/>
      <c r="J482" s="157">
        <f>SUM(J479:J481)</f>
        <v>5613448.9299999997</v>
      </c>
    </row>
    <row r="483" spans="1:10" s="5" customFormat="1" ht="38.25" customHeight="1" x14ac:dyDescent="0.25">
      <c r="A483" s="688">
        <v>47</v>
      </c>
      <c r="B483" s="723" t="s">
        <v>140</v>
      </c>
      <c r="C483" s="51" t="s">
        <v>500</v>
      </c>
      <c r="D483" s="51">
        <v>2200582.04</v>
      </c>
      <c r="E483" s="70" t="s">
        <v>739</v>
      </c>
      <c r="F483" s="70" t="s">
        <v>686</v>
      </c>
      <c r="G483" s="148">
        <v>2464975.5299999998</v>
      </c>
      <c r="H483" s="50">
        <v>42514</v>
      </c>
      <c r="I483" s="50">
        <v>42520</v>
      </c>
      <c r="J483" s="51">
        <v>2200582.04</v>
      </c>
    </row>
    <row r="484" spans="1:10" s="7" customFormat="1" ht="33" outlineLevel="1" x14ac:dyDescent="0.25">
      <c r="A484" s="689"/>
      <c r="B484" s="721"/>
      <c r="C484" s="116" t="s">
        <v>37</v>
      </c>
      <c r="D484" s="59">
        <f>65494.84*1.18</f>
        <v>77283.911199999988</v>
      </c>
      <c r="E484" s="60" t="s">
        <v>557</v>
      </c>
      <c r="F484" s="60" t="s">
        <v>548</v>
      </c>
      <c r="G484" s="61">
        <f>65494.84*1.18</f>
        <v>77283.911199999988</v>
      </c>
      <c r="H484" s="62">
        <v>42424</v>
      </c>
      <c r="I484" s="62">
        <v>42415</v>
      </c>
      <c r="J484" s="63">
        <v>77283.91</v>
      </c>
    </row>
    <row r="485" spans="1:10" s="7" customFormat="1" ht="17.25" outlineLevel="1" thickBot="1" x14ac:dyDescent="0.3">
      <c r="A485" s="686" t="s">
        <v>628</v>
      </c>
      <c r="B485" s="687"/>
      <c r="C485" s="206"/>
      <c r="D485" s="157">
        <f>SUM(D483:D484)</f>
        <v>2277865.9512</v>
      </c>
      <c r="E485" s="88"/>
      <c r="F485" s="88"/>
      <c r="G485" s="158">
        <f>SUM(G483:G484)</f>
        <v>2542259.4411999998</v>
      </c>
      <c r="H485" s="124"/>
      <c r="I485" s="130"/>
      <c r="J485" s="157">
        <f>SUM(J483:J484)</f>
        <v>2277865.9500000002</v>
      </c>
    </row>
    <row r="486" spans="1:10" s="5" customFormat="1" ht="33" x14ac:dyDescent="0.25">
      <c r="A486" s="688">
        <v>48</v>
      </c>
      <c r="B486" s="723" t="s">
        <v>141</v>
      </c>
      <c r="C486" s="51" t="s">
        <v>500</v>
      </c>
      <c r="D486" s="51">
        <v>2891217.16</v>
      </c>
      <c r="E486" s="70" t="s">
        <v>749</v>
      </c>
      <c r="F486" s="70" t="s">
        <v>726</v>
      </c>
      <c r="G486" s="148">
        <v>2639535.14</v>
      </c>
      <c r="H486" s="50">
        <v>42550</v>
      </c>
      <c r="I486" s="50">
        <v>42548</v>
      </c>
      <c r="J486" s="51">
        <v>2891217.16</v>
      </c>
    </row>
    <row r="487" spans="1:10" s="7" customFormat="1" ht="33" outlineLevel="1" x14ac:dyDescent="0.25">
      <c r="A487" s="689"/>
      <c r="B487" s="721"/>
      <c r="C487" s="116" t="s">
        <v>37</v>
      </c>
      <c r="D487" s="59">
        <f>65413.2*1.18</f>
        <v>77187.575999999986</v>
      </c>
      <c r="E487" s="60" t="s">
        <v>557</v>
      </c>
      <c r="F487" s="60" t="s">
        <v>548</v>
      </c>
      <c r="G487" s="61">
        <f>65413.2*1.18</f>
        <v>77187.575999999986</v>
      </c>
      <c r="H487" s="62">
        <v>42424</v>
      </c>
      <c r="I487" s="62">
        <v>42415</v>
      </c>
      <c r="J487" s="63">
        <v>77187.58</v>
      </c>
    </row>
    <row r="488" spans="1:10" s="7" customFormat="1" ht="17.25" outlineLevel="1" thickBot="1" x14ac:dyDescent="0.3">
      <c r="A488" s="686" t="s">
        <v>628</v>
      </c>
      <c r="B488" s="687"/>
      <c r="C488" s="206"/>
      <c r="D488" s="157">
        <f>SUM(D486:D487)</f>
        <v>2968404.736</v>
      </c>
      <c r="E488" s="88"/>
      <c r="F488" s="88"/>
      <c r="G488" s="158">
        <f>SUM(G486:G487)</f>
        <v>2716722.716</v>
      </c>
      <c r="H488" s="124"/>
      <c r="I488" s="130"/>
      <c r="J488" s="157">
        <f>SUM(J486:J487)</f>
        <v>2968404.74</v>
      </c>
    </row>
    <row r="489" spans="1:10" s="5" customFormat="1" ht="66" x14ac:dyDescent="0.25">
      <c r="A489" s="243">
        <v>49</v>
      </c>
      <c r="B489" s="244" t="s">
        <v>142</v>
      </c>
      <c r="C489" s="107" t="s">
        <v>500</v>
      </c>
      <c r="D489" s="107">
        <v>2936291.8</v>
      </c>
      <c r="E489" s="105" t="s">
        <v>598</v>
      </c>
      <c r="F489" s="105" t="s">
        <v>655</v>
      </c>
      <c r="G489" s="226">
        <v>3080450.18</v>
      </c>
      <c r="H489" s="76">
        <v>42397</v>
      </c>
      <c r="I489" s="76">
        <v>42407</v>
      </c>
      <c r="J489" s="107">
        <v>2936291.8</v>
      </c>
    </row>
    <row r="490" spans="1:10" s="7" customFormat="1" ht="17.25" outlineLevel="1" thickBot="1" x14ac:dyDescent="0.3">
      <c r="A490" s="686" t="s">
        <v>628</v>
      </c>
      <c r="B490" s="687"/>
      <c r="C490" s="206"/>
      <c r="D490" s="157">
        <f>SUM(D489:D489)</f>
        <v>2936291.8</v>
      </c>
      <c r="E490" s="88"/>
      <c r="F490" s="88"/>
      <c r="G490" s="158">
        <f>SUM(G489:G489)</f>
        <v>3080450.18</v>
      </c>
      <c r="H490" s="124"/>
      <c r="I490" s="130"/>
      <c r="J490" s="157">
        <f>SUM(J489:J489)</f>
        <v>2936291.8</v>
      </c>
    </row>
    <row r="491" spans="1:10" s="5" customFormat="1" ht="15" customHeight="1" x14ac:dyDescent="0.25">
      <c r="A491" s="688">
        <v>50</v>
      </c>
      <c r="B491" s="723" t="s">
        <v>120</v>
      </c>
      <c r="C491" s="51" t="s">
        <v>500</v>
      </c>
      <c r="D491" s="233">
        <v>3587347.5</v>
      </c>
      <c r="E491" s="690" t="s">
        <v>677</v>
      </c>
      <c r="F491" s="690" t="s">
        <v>660</v>
      </c>
      <c r="G491" s="148">
        <v>3477154.58</v>
      </c>
      <c r="H491" s="50">
        <v>42475</v>
      </c>
      <c r="I491" s="50">
        <v>42474</v>
      </c>
      <c r="J491" s="51">
        <v>3587347.5</v>
      </c>
    </row>
    <row r="492" spans="1:10" s="7" customFormat="1" ht="16.5" outlineLevel="1" x14ac:dyDescent="0.25">
      <c r="A492" s="689"/>
      <c r="B492" s="721"/>
      <c r="C492" s="52" t="s">
        <v>501</v>
      </c>
      <c r="D492" s="228">
        <v>8120000</v>
      </c>
      <c r="E492" s="682"/>
      <c r="F492" s="682"/>
      <c r="G492" s="149">
        <v>6121634.0599999996</v>
      </c>
      <c r="H492" s="92">
        <v>42517</v>
      </c>
      <c r="I492" s="75">
        <v>42699</v>
      </c>
      <c r="J492" s="52">
        <v>4397200</v>
      </c>
    </row>
    <row r="493" spans="1:10" s="7" customFormat="1" ht="33" outlineLevel="1" x14ac:dyDescent="0.25">
      <c r="A493" s="689"/>
      <c r="B493" s="721"/>
      <c r="C493" s="116" t="s">
        <v>37</v>
      </c>
      <c r="D493" s="59">
        <f>101897.62*1.18</f>
        <v>120239.19159999999</v>
      </c>
      <c r="E493" s="60" t="s">
        <v>547</v>
      </c>
      <c r="F493" s="60" t="s">
        <v>548</v>
      </c>
      <c r="G493" s="61">
        <v>119946.7</v>
      </c>
      <c r="H493" s="62">
        <v>42381</v>
      </c>
      <c r="I493" s="62">
        <v>42381</v>
      </c>
      <c r="J493" s="63">
        <v>120239.19</v>
      </c>
    </row>
    <row r="494" spans="1:10" s="7" customFormat="1" ht="17.25" outlineLevel="1" thickBot="1" x14ac:dyDescent="0.3">
      <c r="A494" s="686" t="s">
        <v>628</v>
      </c>
      <c r="B494" s="687"/>
      <c r="C494" s="206"/>
      <c r="D494" s="157">
        <f>SUM(D491:D493)</f>
        <v>11827586.6916</v>
      </c>
      <c r="E494" s="88"/>
      <c r="F494" s="88"/>
      <c r="G494" s="158">
        <f>SUM(G491:G493)</f>
        <v>9718735.3399999999</v>
      </c>
      <c r="H494" s="124"/>
      <c r="I494" s="231"/>
      <c r="J494" s="157">
        <f>SUM(J491:J493)</f>
        <v>8104786.6900000004</v>
      </c>
    </row>
    <row r="495" spans="1:10" s="5" customFormat="1" ht="30.75" customHeight="1" x14ac:dyDescent="0.25">
      <c r="A495" s="722">
        <v>51</v>
      </c>
      <c r="B495" s="720" t="s">
        <v>144</v>
      </c>
      <c r="C495" s="107" t="s">
        <v>500</v>
      </c>
      <c r="D495" s="107">
        <v>4679783.09</v>
      </c>
      <c r="E495" s="105" t="s">
        <v>725</v>
      </c>
      <c r="F495" s="105" t="s">
        <v>726</v>
      </c>
      <c r="G495" s="226">
        <v>4364243.26</v>
      </c>
      <c r="H495" s="76">
        <v>42536</v>
      </c>
      <c r="I495" s="76">
        <v>42536</v>
      </c>
      <c r="J495" s="107">
        <v>4679783.09</v>
      </c>
    </row>
    <row r="496" spans="1:10" s="7" customFormat="1" ht="33" outlineLevel="1" x14ac:dyDescent="0.25">
      <c r="A496" s="689"/>
      <c r="B496" s="721"/>
      <c r="C496" s="116" t="s">
        <v>37</v>
      </c>
      <c r="D496" s="59">
        <v>100218.75999999998</v>
      </c>
      <c r="E496" s="60" t="s">
        <v>557</v>
      </c>
      <c r="F496" s="60" t="s">
        <v>548</v>
      </c>
      <c r="G496" s="61">
        <f>84931.16*1.18</f>
        <v>100218.76880000001</v>
      </c>
      <c r="H496" s="62">
        <v>42424</v>
      </c>
      <c r="I496" s="62">
        <v>42415</v>
      </c>
      <c r="J496" s="63">
        <v>100218.75999999998</v>
      </c>
    </row>
    <row r="497" spans="1:10" s="7" customFormat="1" ht="17.25" outlineLevel="1" thickBot="1" x14ac:dyDescent="0.3">
      <c r="A497" s="686" t="s">
        <v>628</v>
      </c>
      <c r="B497" s="687"/>
      <c r="C497" s="206"/>
      <c r="D497" s="157">
        <f>SUM(D495:D496)</f>
        <v>4780001.8499999996</v>
      </c>
      <c r="E497" s="88"/>
      <c r="F497" s="88"/>
      <c r="G497" s="158">
        <f>SUM(G495:G496)</f>
        <v>4464462.0287999995</v>
      </c>
      <c r="H497" s="124"/>
      <c r="I497" s="130"/>
      <c r="J497" s="157">
        <f>SUM(J495:J496)</f>
        <v>4780001.8499999996</v>
      </c>
    </row>
    <row r="498" spans="1:10" s="5" customFormat="1" ht="15" customHeight="1" x14ac:dyDescent="0.25">
      <c r="A498" s="688">
        <v>52</v>
      </c>
      <c r="B498" s="723" t="s">
        <v>121</v>
      </c>
      <c r="C498" s="51" t="s">
        <v>500</v>
      </c>
      <c r="D498" s="233">
        <v>3429904.82</v>
      </c>
      <c r="E498" s="690" t="s">
        <v>677</v>
      </c>
      <c r="F498" s="690" t="s">
        <v>660</v>
      </c>
      <c r="G498" s="148">
        <v>3399505.78</v>
      </c>
      <c r="H498" s="675">
        <v>42517</v>
      </c>
      <c r="I498" s="50">
        <v>42474</v>
      </c>
      <c r="J498" s="51">
        <v>3429904.8200000003</v>
      </c>
    </row>
    <row r="499" spans="1:10" s="7" customFormat="1" ht="16.5" outlineLevel="1" x14ac:dyDescent="0.25">
      <c r="A499" s="689"/>
      <c r="B499" s="721"/>
      <c r="C499" s="52" t="s">
        <v>501</v>
      </c>
      <c r="D499" s="228">
        <v>7570000</v>
      </c>
      <c r="E499" s="682"/>
      <c r="F499" s="682"/>
      <c r="G499" s="149">
        <v>6471705.7000000002</v>
      </c>
      <c r="H499" s="677"/>
      <c r="I499" s="75">
        <v>42699</v>
      </c>
      <c r="J499" s="52">
        <v>4629949</v>
      </c>
    </row>
    <row r="500" spans="1:10" s="7" customFormat="1" ht="33" outlineLevel="1" x14ac:dyDescent="0.25">
      <c r="A500" s="689"/>
      <c r="B500" s="721"/>
      <c r="C500" s="116" t="s">
        <v>37</v>
      </c>
      <c r="D500" s="59">
        <f>100357.5*1.18</f>
        <v>118421.84999999999</v>
      </c>
      <c r="E500" s="60" t="s">
        <v>547</v>
      </c>
      <c r="F500" s="60" t="s">
        <v>548</v>
      </c>
      <c r="G500" s="61">
        <v>118133.78</v>
      </c>
      <c r="H500" s="62">
        <v>42381</v>
      </c>
      <c r="I500" s="62">
        <v>42381</v>
      </c>
      <c r="J500" s="63">
        <v>118421.85</v>
      </c>
    </row>
    <row r="501" spans="1:10" s="7" customFormat="1" ht="17.25" outlineLevel="1" thickBot="1" x14ac:dyDescent="0.3">
      <c r="A501" s="686" t="s">
        <v>628</v>
      </c>
      <c r="B501" s="687"/>
      <c r="C501" s="206"/>
      <c r="D501" s="157">
        <f>SUM(D498:D500)</f>
        <v>11118326.67</v>
      </c>
      <c r="E501" s="88"/>
      <c r="F501" s="88"/>
      <c r="G501" s="158">
        <f>SUM(G498:G500)</f>
        <v>9989345.2599999998</v>
      </c>
      <c r="H501" s="124"/>
      <c r="I501" s="231"/>
      <c r="J501" s="157">
        <f>SUM(J498:J500)</f>
        <v>8178275.6699999999</v>
      </c>
    </row>
    <row r="502" spans="1:10" s="5" customFormat="1" ht="33" x14ac:dyDescent="0.25">
      <c r="A502" s="688">
        <v>53</v>
      </c>
      <c r="B502" s="723" t="s">
        <v>507</v>
      </c>
      <c r="C502" s="51" t="s">
        <v>500</v>
      </c>
      <c r="D502" s="51">
        <v>3979966.48</v>
      </c>
      <c r="E502" s="70" t="s">
        <v>728</v>
      </c>
      <c r="F502" s="70" t="s">
        <v>729</v>
      </c>
      <c r="G502" s="148">
        <v>3918702.63</v>
      </c>
      <c r="H502" s="50">
        <v>42514</v>
      </c>
      <c r="I502" s="50">
        <v>42531</v>
      </c>
      <c r="J502" s="51">
        <v>3979966.4799999995</v>
      </c>
    </row>
    <row r="503" spans="1:10" s="7" customFormat="1" ht="33" outlineLevel="1" x14ac:dyDescent="0.25">
      <c r="A503" s="689"/>
      <c r="B503" s="721"/>
      <c r="C503" s="116" t="s">
        <v>37</v>
      </c>
      <c r="D503" s="59">
        <f>69811.92*1.18</f>
        <v>82378.065599999987</v>
      </c>
      <c r="E503" s="60" t="s">
        <v>557</v>
      </c>
      <c r="F503" s="60" t="s">
        <v>548</v>
      </c>
      <c r="G503" s="61">
        <v>82378.070000000007</v>
      </c>
      <c r="H503" s="62">
        <v>42424</v>
      </c>
      <c r="I503" s="62">
        <v>42415</v>
      </c>
      <c r="J503" s="63">
        <v>82378.070000000007</v>
      </c>
    </row>
    <row r="504" spans="1:10" s="7" customFormat="1" ht="17.25" outlineLevel="1" thickBot="1" x14ac:dyDescent="0.3">
      <c r="A504" s="686" t="s">
        <v>628</v>
      </c>
      <c r="B504" s="687"/>
      <c r="C504" s="206"/>
      <c r="D504" s="157">
        <f>SUM(D502:D503)</f>
        <v>4062344.5455999998</v>
      </c>
      <c r="E504" s="88"/>
      <c r="F504" s="88"/>
      <c r="G504" s="158">
        <f>SUM(G502:G503)</f>
        <v>4001080.6999999997</v>
      </c>
      <c r="H504" s="124"/>
      <c r="I504" s="130"/>
      <c r="J504" s="157">
        <f>SUM(J502:J503)</f>
        <v>4062344.5499999993</v>
      </c>
    </row>
    <row r="505" spans="1:10" s="5" customFormat="1" ht="28.5" customHeight="1" x14ac:dyDescent="0.25">
      <c r="A505" s="879">
        <v>54</v>
      </c>
      <c r="B505" s="839" t="s">
        <v>145</v>
      </c>
      <c r="C505" s="51" t="s">
        <v>500</v>
      </c>
      <c r="D505" s="51">
        <v>3524920.2</v>
      </c>
      <c r="E505" s="70" t="s">
        <v>728</v>
      </c>
      <c r="F505" s="70" t="s">
        <v>729</v>
      </c>
      <c r="G505" s="148">
        <v>3490080.17</v>
      </c>
      <c r="H505" s="50">
        <v>42514</v>
      </c>
      <c r="I505" s="50">
        <v>42531</v>
      </c>
      <c r="J505" s="51">
        <v>3524920.2</v>
      </c>
    </row>
    <row r="506" spans="1:10" s="7" customFormat="1" ht="33" outlineLevel="1" x14ac:dyDescent="0.25">
      <c r="A506" s="722"/>
      <c r="B506" s="720"/>
      <c r="C506" s="116" t="s">
        <v>37</v>
      </c>
      <c r="D506" s="59">
        <f>71942.14*1.18</f>
        <v>84891.725200000001</v>
      </c>
      <c r="E506" s="60" t="s">
        <v>557</v>
      </c>
      <c r="F506" s="60" t="s">
        <v>548</v>
      </c>
      <c r="G506" s="61">
        <f>71942.14*1.18</f>
        <v>84891.725200000001</v>
      </c>
      <c r="H506" s="62">
        <v>42424</v>
      </c>
      <c r="I506" s="62">
        <v>42415</v>
      </c>
      <c r="J506" s="63">
        <v>84891.73</v>
      </c>
    </row>
    <row r="507" spans="1:10" s="7" customFormat="1" ht="17.25" outlineLevel="1" thickBot="1" x14ac:dyDescent="0.3">
      <c r="A507" s="686" t="s">
        <v>628</v>
      </c>
      <c r="B507" s="687"/>
      <c r="C507" s="206"/>
      <c r="D507" s="157">
        <f>SUM(D505:D506)</f>
        <v>3609811.9252000004</v>
      </c>
      <c r="E507" s="88"/>
      <c r="F507" s="88"/>
      <c r="G507" s="158">
        <f>SUM(G505:G506)</f>
        <v>3574971.8952000001</v>
      </c>
      <c r="H507" s="124"/>
      <c r="I507" s="130"/>
      <c r="J507" s="157">
        <f>SUM(J505:J506)</f>
        <v>3609811.93</v>
      </c>
    </row>
    <row r="508" spans="1:10" s="7" customFormat="1" ht="19.5" customHeight="1" outlineLevel="1" x14ac:dyDescent="0.25">
      <c r="A508" s="814" t="s">
        <v>1008</v>
      </c>
      <c r="B508" s="815"/>
      <c r="C508" s="844"/>
      <c r="D508" s="132">
        <v>3981927.91</v>
      </c>
      <c r="E508" s="133"/>
      <c r="F508" s="134"/>
      <c r="G508" s="135">
        <f>SUM(G509:G519)</f>
        <v>3981927.91</v>
      </c>
      <c r="H508" s="136"/>
      <c r="I508" s="137"/>
      <c r="J508" s="132">
        <f>SUM(J509:J519)</f>
        <v>3255859.4</v>
      </c>
    </row>
    <row r="509" spans="1:10" s="7" customFormat="1" ht="27" customHeight="1" outlineLevel="1" x14ac:dyDescent="0.25">
      <c r="A509" s="139"/>
      <c r="B509" s="247" t="s">
        <v>1127</v>
      </c>
      <c r="C509" s="110" t="s">
        <v>37</v>
      </c>
      <c r="D509" s="73"/>
      <c r="E509" s="707" t="s">
        <v>1138</v>
      </c>
      <c r="F509" s="694" t="s">
        <v>548</v>
      </c>
      <c r="G509" s="73">
        <v>156954.67000000001</v>
      </c>
      <c r="H509" s="713">
        <v>42719</v>
      </c>
      <c r="I509" s="75" t="s">
        <v>1343</v>
      </c>
      <c r="J509" s="73">
        <v>133012.44</v>
      </c>
    </row>
    <row r="510" spans="1:10" s="7" customFormat="1" ht="27.75" customHeight="1" outlineLevel="1" x14ac:dyDescent="0.25">
      <c r="A510" s="139"/>
      <c r="B510" s="247" t="s">
        <v>1128</v>
      </c>
      <c r="C510" s="110" t="s">
        <v>37</v>
      </c>
      <c r="D510" s="73"/>
      <c r="E510" s="708"/>
      <c r="F510" s="710"/>
      <c r="G510" s="73">
        <v>291863.45</v>
      </c>
      <c r="H510" s="676"/>
      <c r="I510" s="75" t="s">
        <v>1344</v>
      </c>
      <c r="J510" s="73">
        <v>128686.13</v>
      </c>
    </row>
    <row r="511" spans="1:10" s="7" customFormat="1" ht="24.75" customHeight="1" outlineLevel="1" x14ac:dyDescent="0.25">
      <c r="A511" s="139"/>
      <c r="B511" s="247" t="s">
        <v>1129</v>
      </c>
      <c r="C511" s="110" t="s">
        <v>37</v>
      </c>
      <c r="D511" s="73"/>
      <c r="E511" s="708"/>
      <c r="F511" s="710"/>
      <c r="G511" s="73">
        <v>121191.34</v>
      </c>
      <c r="H511" s="676"/>
      <c r="I511" s="75" t="s">
        <v>1345</v>
      </c>
      <c r="J511" s="73">
        <v>102704.53</v>
      </c>
    </row>
    <row r="512" spans="1:10" s="7" customFormat="1" ht="26.25" customHeight="1" outlineLevel="1" x14ac:dyDescent="0.25">
      <c r="A512" s="139"/>
      <c r="B512" s="247" t="s">
        <v>1130</v>
      </c>
      <c r="C512" s="110" t="s">
        <v>37</v>
      </c>
      <c r="D512" s="73"/>
      <c r="E512" s="708"/>
      <c r="F512" s="710"/>
      <c r="G512" s="73">
        <v>507760.58</v>
      </c>
      <c r="H512" s="676"/>
      <c r="I512" s="75" t="s">
        <v>1346</v>
      </c>
      <c r="J512" s="73">
        <v>430305.56</v>
      </c>
    </row>
    <row r="513" spans="1:10" s="7" customFormat="1" ht="27.75" customHeight="1" outlineLevel="1" x14ac:dyDescent="0.25">
      <c r="A513" s="139"/>
      <c r="B513" s="247" t="s">
        <v>1131</v>
      </c>
      <c r="C513" s="110" t="s">
        <v>37</v>
      </c>
      <c r="D513" s="73"/>
      <c r="E513" s="708"/>
      <c r="F513" s="710"/>
      <c r="G513" s="73">
        <v>360444.73</v>
      </c>
      <c r="H513" s="676"/>
      <c r="I513" s="75" t="s">
        <v>1347</v>
      </c>
      <c r="J513" s="73">
        <v>305461.64</v>
      </c>
    </row>
    <row r="514" spans="1:10" s="7" customFormat="1" ht="27" customHeight="1" outlineLevel="1" x14ac:dyDescent="0.25">
      <c r="A514" s="139"/>
      <c r="B514" s="247" t="s">
        <v>1132</v>
      </c>
      <c r="C514" s="110" t="s">
        <v>37</v>
      </c>
      <c r="D514" s="73"/>
      <c r="E514" s="708"/>
      <c r="F514" s="710"/>
      <c r="G514" s="73">
        <v>79666.84</v>
      </c>
      <c r="H514" s="676"/>
      <c r="I514" s="75" t="s">
        <v>1348</v>
      </c>
      <c r="J514" s="73">
        <v>67514.27</v>
      </c>
    </row>
    <row r="515" spans="1:10" s="7" customFormat="1" ht="19.5" customHeight="1" outlineLevel="1" x14ac:dyDescent="0.25">
      <c r="A515" s="139"/>
      <c r="B515" s="247" t="s">
        <v>1133</v>
      </c>
      <c r="C515" s="110" t="s">
        <v>37</v>
      </c>
      <c r="D515" s="73"/>
      <c r="E515" s="708"/>
      <c r="F515" s="710"/>
      <c r="G515" s="73">
        <v>629648.16</v>
      </c>
      <c r="H515" s="676"/>
      <c r="I515" s="75" t="s">
        <v>1349</v>
      </c>
      <c r="J515" s="73">
        <v>533600.14</v>
      </c>
    </row>
    <row r="516" spans="1:10" s="7" customFormat="1" ht="19.5" customHeight="1" outlineLevel="1" x14ac:dyDescent="0.25">
      <c r="A516" s="139"/>
      <c r="B516" s="247" t="s">
        <v>1134</v>
      </c>
      <c r="C516" s="110" t="s">
        <v>37</v>
      </c>
      <c r="D516" s="73"/>
      <c r="E516" s="708"/>
      <c r="F516" s="710"/>
      <c r="G516" s="73">
        <v>683978.86</v>
      </c>
      <c r="H516" s="676"/>
      <c r="I516" s="75" t="s">
        <v>1350</v>
      </c>
      <c r="J516" s="73">
        <v>579643.1</v>
      </c>
    </row>
    <row r="517" spans="1:10" s="7" customFormat="1" ht="19.5" customHeight="1" outlineLevel="1" x14ac:dyDescent="0.25">
      <c r="A517" s="139"/>
      <c r="B517" s="247" t="s">
        <v>1135</v>
      </c>
      <c r="C517" s="110" t="s">
        <v>37</v>
      </c>
      <c r="D517" s="73"/>
      <c r="E517" s="708"/>
      <c r="F517" s="710"/>
      <c r="G517" s="73">
        <v>692933.94</v>
      </c>
      <c r="H517" s="676"/>
      <c r="I517" s="75" t="s">
        <v>1351</v>
      </c>
      <c r="J517" s="73">
        <v>587232.15</v>
      </c>
    </row>
    <row r="518" spans="1:10" s="7" customFormat="1" ht="19.5" customHeight="1" outlineLevel="1" x14ac:dyDescent="0.25">
      <c r="A518" s="139"/>
      <c r="B518" s="247" t="s">
        <v>1136</v>
      </c>
      <c r="C518" s="110" t="s">
        <v>37</v>
      </c>
      <c r="D518" s="73"/>
      <c r="E518" s="708"/>
      <c r="F518" s="710"/>
      <c r="G518" s="73">
        <v>226153.64</v>
      </c>
      <c r="H518" s="676"/>
      <c r="I518" s="75" t="s">
        <v>1352</v>
      </c>
      <c r="J518" s="73">
        <v>191655.63</v>
      </c>
    </row>
    <row r="519" spans="1:10" s="7" customFormat="1" ht="19.5" customHeight="1" outlineLevel="1" x14ac:dyDescent="0.25">
      <c r="A519" s="139"/>
      <c r="B519" s="247" t="s">
        <v>1137</v>
      </c>
      <c r="C519" s="110" t="s">
        <v>37</v>
      </c>
      <c r="D519" s="73"/>
      <c r="E519" s="709"/>
      <c r="F519" s="711"/>
      <c r="G519" s="73">
        <v>231331.7</v>
      </c>
      <c r="H519" s="677"/>
      <c r="I519" s="75" t="s">
        <v>1353</v>
      </c>
      <c r="J519" s="73">
        <v>196043.81</v>
      </c>
    </row>
    <row r="520" spans="1:10" s="7" customFormat="1" ht="17.25" outlineLevel="1" thickBot="1" x14ac:dyDescent="0.3">
      <c r="A520" s="726" t="s">
        <v>629</v>
      </c>
      <c r="B520" s="727"/>
      <c r="C520" s="224"/>
      <c r="D520" s="192">
        <f>SUM(D507,D504,D501,D497,D494,D490,D488,D485,D482,D478,D475,D469,D463,D461,D458,D456,D452,D448,D445,D442,D439,D437,D434,D432,D428,D425,D422,D419,D416,D413,D410,D408,D402,D399,D396,D392,D389,D386,D383,D379,D376,D373,D371,D368,D363,D359,D357,D353,D350,D347,D342,D339,D335,D332,D508)</f>
        <v>404759445.03420007</v>
      </c>
      <c r="E520" s="145"/>
      <c r="F520" s="145"/>
      <c r="G520" s="192">
        <f>SUM(G507,G504,G501,G497,G494,G490,G488,G485,G482,G478,G475,G469,G463,G461,G458,G456,G452,G448,G445,G442,G439,G437,G434,G432,G428,G425,G422,G419,G416,G413,G410,G408,G402,G399,G396,G392,G389,G386,G383,G379,G376,G373,G371,G368,G363,G359,G357,G353,G350,G347,G342,G339,G335,G332,G508)</f>
        <v>395031783.27779996</v>
      </c>
      <c r="H520" s="248"/>
      <c r="I520" s="146"/>
      <c r="J520" s="192">
        <f>SUM(J507,J504,J501,J497,J494,J490,J488,J485,J482,J478,J475,J469,J463,J461,J458,J456,J452,J448,J445,J442,J439,J437,J434,J432,J428,J425,J422,J419,J416,J413,J410,J408,J402,J399,J396,J392,J389,J386,J383,J379,J376,J373,J371,J368,J363,J359,J357,J353,J350,J347,J342,J339,J335,J332,J508)</f>
        <v>316764161.81038404</v>
      </c>
    </row>
    <row r="521" spans="1:10" s="5" customFormat="1" ht="24.75" customHeight="1" x14ac:dyDescent="0.25">
      <c r="A521" s="705" t="s">
        <v>635</v>
      </c>
      <c r="B521" s="706"/>
      <c r="C521" s="706"/>
      <c r="D521" s="706"/>
      <c r="E521" s="706"/>
      <c r="F521" s="706"/>
      <c r="G521" s="706"/>
      <c r="H521" s="706"/>
      <c r="I521" s="706"/>
      <c r="J521" s="706"/>
    </row>
    <row r="522" spans="1:10" ht="33" outlineLevel="1" x14ac:dyDescent="0.25">
      <c r="A522" s="731"/>
      <c r="B522" s="733" t="s">
        <v>146</v>
      </c>
      <c r="C522" s="91" t="s">
        <v>35</v>
      </c>
      <c r="D522" s="52">
        <v>405756.7</v>
      </c>
      <c r="E522" s="52" t="s">
        <v>939</v>
      </c>
      <c r="F522" s="91" t="s">
        <v>938</v>
      </c>
      <c r="G522" s="149">
        <v>405756.7</v>
      </c>
      <c r="H522" s="75">
        <v>42612</v>
      </c>
      <c r="I522" s="75">
        <v>42704</v>
      </c>
      <c r="J522" s="52">
        <v>248415.89</v>
      </c>
    </row>
    <row r="523" spans="1:10" ht="33" outlineLevel="1" x14ac:dyDescent="0.25">
      <c r="A523" s="731"/>
      <c r="B523" s="733"/>
      <c r="C523" s="91" t="s">
        <v>36</v>
      </c>
      <c r="D523" s="52">
        <v>288025.84000000003</v>
      </c>
      <c r="E523" s="52" t="s">
        <v>939</v>
      </c>
      <c r="F523" s="91" t="s">
        <v>938</v>
      </c>
      <c r="G523" s="149">
        <v>288025.84000000003</v>
      </c>
      <c r="H523" s="75">
        <v>42612</v>
      </c>
      <c r="I523" s="75">
        <v>42704</v>
      </c>
      <c r="J523" s="52">
        <v>262759.05</v>
      </c>
    </row>
    <row r="524" spans="1:10" s="24" customFormat="1" ht="33" outlineLevel="1" x14ac:dyDescent="0.25">
      <c r="A524" s="731"/>
      <c r="B524" s="733"/>
      <c r="C524" s="91" t="s">
        <v>500</v>
      </c>
      <c r="D524" s="52">
        <v>2146362.39</v>
      </c>
      <c r="E524" s="52" t="s">
        <v>939</v>
      </c>
      <c r="F524" s="91" t="s">
        <v>938</v>
      </c>
      <c r="G524" s="149">
        <v>2146362.39</v>
      </c>
      <c r="H524" s="75">
        <v>42767</v>
      </c>
      <c r="I524" s="75">
        <v>42714</v>
      </c>
      <c r="J524" s="52">
        <v>2314292.87</v>
      </c>
    </row>
    <row r="525" spans="1:10" ht="33" outlineLevel="1" x14ac:dyDescent="0.25">
      <c r="A525" s="731"/>
      <c r="B525" s="733"/>
      <c r="C525" s="140" t="s">
        <v>501</v>
      </c>
      <c r="D525" s="121">
        <v>5587196.1600000001</v>
      </c>
      <c r="E525" s="57" t="s">
        <v>1157</v>
      </c>
      <c r="F525" s="194" t="s">
        <v>660</v>
      </c>
      <c r="G525" s="207">
        <v>5587196.1600000001</v>
      </c>
      <c r="H525" s="55">
        <v>42917</v>
      </c>
      <c r="I525" s="56"/>
      <c r="J525" s="57"/>
    </row>
    <row r="526" spans="1:10" ht="16.5" outlineLevel="1" x14ac:dyDescent="0.25">
      <c r="A526" s="731"/>
      <c r="B526" s="733"/>
      <c r="C526" s="140" t="s">
        <v>1007</v>
      </c>
      <c r="D526" s="121">
        <v>60780</v>
      </c>
      <c r="E526" s="57"/>
      <c r="F526" s="194"/>
      <c r="G526" s="207"/>
      <c r="H526" s="55"/>
      <c r="I526" s="56"/>
      <c r="J526" s="57"/>
    </row>
    <row r="527" spans="1:10" ht="33" outlineLevel="1" x14ac:dyDescent="0.25">
      <c r="A527" s="731"/>
      <c r="B527" s="733"/>
      <c r="C527" s="150" t="s">
        <v>37</v>
      </c>
      <c r="D527" s="151">
        <v>170376.12</v>
      </c>
      <c r="E527" s="155" t="s">
        <v>550</v>
      </c>
      <c r="F527" s="152" t="s">
        <v>541</v>
      </c>
      <c r="G527" s="153">
        <v>201679.44</v>
      </c>
      <c r="H527" s="154">
        <v>42460</v>
      </c>
      <c r="I527" s="154">
        <v>42475</v>
      </c>
      <c r="J527" s="155">
        <v>170376.12</v>
      </c>
    </row>
    <row r="528" spans="1:10" ht="17.25" outlineLevel="1" thickBot="1" x14ac:dyDescent="0.3">
      <c r="A528" s="686" t="s">
        <v>628</v>
      </c>
      <c r="B528" s="687"/>
      <c r="C528" s="156"/>
      <c r="D528" s="157">
        <f>SUM(D522:D527)</f>
        <v>8658497.209999999</v>
      </c>
      <c r="E528" s="88"/>
      <c r="F528" s="88"/>
      <c r="G528" s="158">
        <f>SUM(G522:G527)</f>
        <v>8629020.5299999993</v>
      </c>
      <c r="H528" s="88"/>
      <c r="I528" s="130"/>
      <c r="J528" s="68">
        <f>SUM(J522:J527)</f>
        <v>2995843.93</v>
      </c>
    </row>
    <row r="529" spans="1:10" ht="33" outlineLevel="1" x14ac:dyDescent="0.25">
      <c r="A529" s="734"/>
      <c r="B529" s="732" t="s">
        <v>147</v>
      </c>
      <c r="C529" s="70" t="s">
        <v>35</v>
      </c>
      <c r="D529" s="51">
        <v>315890.28999999998</v>
      </c>
      <c r="E529" s="51" t="s">
        <v>939</v>
      </c>
      <c r="F529" s="70" t="s">
        <v>938</v>
      </c>
      <c r="G529" s="148">
        <v>315890.28999999998</v>
      </c>
      <c r="H529" s="50">
        <v>42612</v>
      </c>
      <c r="I529" s="50">
        <v>42704</v>
      </c>
      <c r="J529" s="51">
        <v>238068.86</v>
      </c>
    </row>
    <row r="530" spans="1:10" ht="33" outlineLevel="1" x14ac:dyDescent="0.25">
      <c r="A530" s="731"/>
      <c r="B530" s="733"/>
      <c r="C530" s="91" t="s">
        <v>36</v>
      </c>
      <c r="D530" s="52">
        <v>261624.71</v>
      </c>
      <c r="E530" s="52" t="s">
        <v>939</v>
      </c>
      <c r="F530" s="91" t="s">
        <v>938</v>
      </c>
      <c r="G530" s="149">
        <v>261624.71</v>
      </c>
      <c r="H530" s="75">
        <v>42612</v>
      </c>
      <c r="I530" s="75">
        <v>42704</v>
      </c>
      <c r="J530" s="52">
        <v>244609.6</v>
      </c>
    </row>
    <row r="531" spans="1:10" s="24" customFormat="1" ht="33" outlineLevel="1" x14ac:dyDescent="0.25">
      <c r="A531" s="731"/>
      <c r="B531" s="733"/>
      <c r="C531" s="91" t="s">
        <v>500</v>
      </c>
      <c r="D531" s="52">
        <v>1587277.48</v>
      </c>
      <c r="E531" s="52" t="s">
        <v>939</v>
      </c>
      <c r="F531" s="91" t="s">
        <v>938</v>
      </c>
      <c r="G531" s="149">
        <v>1587277.48</v>
      </c>
      <c r="H531" s="75">
        <v>42673</v>
      </c>
      <c r="I531" s="75">
        <v>42714</v>
      </c>
      <c r="J531" s="52">
        <v>1710505.75</v>
      </c>
    </row>
    <row r="532" spans="1:10" ht="33" outlineLevel="1" x14ac:dyDescent="0.25">
      <c r="A532" s="731"/>
      <c r="B532" s="733"/>
      <c r="C532" s="140" t="s">
        <v>501</v>
      </c>
      <c r="D532" s="121">
        <v>5443614.9400000004</v>
      </c>
      <c r="E532" s="57" t="s">
        <v>1157</v>
      </c>
      <c r="F532" s="194" t="s">
        <v>660</v>
      </c>
      <c r="G532" s="207">
        <v>5443614.9400000004</v>
      </c>
      <c r="H532" s="55">
        <v>42917</v>
      </c>
      <c r="I532" s="56"/>
      <c r="J532" s="57"/>
    </row>
    <row r="533" spans="1:10" ht="16.5" outlineLevel="1" x14ac:dyDescent="0.25">
      <c r="A533" s="731"/>
      <c r="B533" s="733"/>
      <c r="C533" s="140" t="s">
        <v>1007</v>
      </c>
      <c r="D533" s="121">
        <v>46330</v>
      </c>
      <c r="E533" s="57"/>
      <c r="F533" s="194"/>
      <c r="G533" s="207"/>
      <c r="H533" s="55"/>
      <c r="I533" s="56"/>
      <c r="J533" s="57"/>
    </row>
    <row r="534" spans="1:10" ht="33" outlineLevel="1" x14ac:dyDescent="0.25">
      <c r="A534" s="731"/>
      <c r="B534" s="733"/>
      <c r="C534" s="150" t="s">
        <v>37</v>
      </c>
      <c r="D534" s="151">
        <v>161211.22</v>
      </c>
      <c r="E534" s="155" t="s">
        <v>550</v>
      </c>
      <c r="F534" s="152" t="s">
        <v>541</v>
      </c>
      <c r="G534" s="153">
        <v>190814.27</v>
      </c>
      <c r="H534" s="154">
        <v>42460</v>
      </c>
      <c r="I534" s="154">
        <v>42475</v>
      </c>
      <c r="J534" s="155">
        <v>161211.21999999997</v>
      </c>
    </row>
    <row r="535" spans="1:10" ht="17.25" outlineLevel="1" thickBot="1" x14ac:dyDescent="0.3">
      <c r="A535" s="686" t="s">
        <v>628</v>
      </c>
      <c r="B535" s="687"/>
      <c r="C535" s="156"/>
      <c r="D535" s="157">
        <f>SUM(D529:D534)</f>
        <v>7815948.6399999997</v>
      </c>
      <c r="E535" s="88"/>
      <c r="F535" s="88"/>
      <c r="G535" s="158">
        <f>SUM(G529:G534)</f>
        <v>7799221.6899999995</v>
      </c>
      <c r="H535" s="88"/>
      <c r="I535" s="130"/>
      <c r="J535" s="68">
        <f>SUM(J529:J534)</f>
        <v>2354395.4299999997</v>
      </c>
    </row>
    <row r="536" spans="1:10" ht="33" outlineLevel="1" x14ac:dyDescent="0.25">
      <c r="A536" s="730"/>
      <c r="B536" s="735" t="s">
        <v>148</v>
      </c>
      <c r="C536" s="105" t="s">
        <v>35</v>
      </c>
      <c r="D536" s="107">
        <v>405756.72</v>
      </c>
      <c r="E536" s="107" t="s">
        <v>939</v>
      </c>
      <c r="F536" s="105" t="s">
        <v>938</v>
      </c>
      <c r="G536" s="226">
        <v>405756.72</v>
      </c>
      <c r="H536" s="76">
        <v>42612</v>
      </c>
      <c r="I536" s="76">
        <v>42704</v>
      </c>
      <c r="J536" s="107">
        <v>248468.95</v>
      </c>
    </row>
    <row r="537" spans="1:10" ht="33" outlineLevel="1" x14ac:dyDescent="0.25">
      <c r="A537" s="731"/>
      <c r="B537" s="733"/>
      <c r="C537" s="91" t="s">
        <v>36</v>
      </c>
      <c r="D537" s="52">
        <v>288025.84000000003</v>
      </c>
      <c r="E537" s="52" t="s">
        <v>939</v>
      </c>
      <c r="F537" s="91" t="s">
        <v>938</v>
      </c>
      <c r="G537" s="149">
        <v>288025.84000000003</v>
      </c>
      <c r="H537" s="75">
        <v>42612</v>
      </c>
      <c r="I537" s="75">
        <v>42704</v>
      </c>
      <c r="J537" s="52">
        <v>263064.45</v>
      </c>
    </row>
    <row r="538" spans="1:10" s="24" customFormat="1" ht="33" outlineLevel="1" x14ac:dyDescent="0.25">
      <c r="A538" s="731"/>
      <c r="B538" s="733"/>
      <c r="C538" s="91" t="s">
        <v>500</v>
      </c>
      <c r="D538" s="52">
        <v>2146362.39</v>
      </c>
      <c r="E538" s="52" t="s">
        <v>939</v>
      </c>
      <c r="F538" s="91" t="s">
        <v>938</v>
      </c>
      <c r="G538" s="149">
        <v>2146362.39</v>
      </c>
      <c r="H538" s="75">
        <v>42673</v>
      </c>
      <c r="I538" s="75">
        <v>42714</v>
      </c>
      <c r="J538" s="52">
        <v>2314310.48</v>
      </c>
    </row>
    <row r="539" spans="1:10" ht="33" outlineLevel="1" x14ac:dyDescent="0.25">
      <c r="A539" s="731"/>
      <c r="B539" s="733"/>
      <c r="C539" s="140" t="s">
        <v>501</v>
      </c>
      <c r="D539" s="121">
        <v>5587196.1600000001</v>
      </c>
      <c r="E539" s="57" t="s">
        <v>1157</v>
      </c>
      <c r="F539" s="194" t="s">
        <v>660</v>
      </c>
      <c r="G539" s="207">
        <v>5587196.1600000001</v>
      </c>
      <c r="H539" s="55">
        <v>42917</v>
      </c>
      <c r="I539" s="56"/>
      <c r="J539" s="57"/>
    </row>
    <row r="540" spans="1:10" ht="16.5" outlineLevel="1" x14ac:dyDescent="0.25">
      <c r="A540" s="731"/>
      <c r="B540" s="733"/>
      <c r="C540" s="140" t="s">
        <v>1007</v>
      </c>
      <c r="D540" s="121">
        <v>60780</v>
      </c>
      <c r="E540" s="57"/>
      <c r="F540" s="194"/>
      <c r="G540" s="207"/>
      <c r="H540" s="55"/>
      <c r="I540" s="56"/>
      <c r="J540" s="57"/>
    </row>
    <row r="541" spans="1:10" ht="33" outlineLevel="1" x14ac:dyDescent="0.25">
      <c r="A541" s="731"/>
      <c r="B541" s="733"/>
      <c r="C541" s="150" t="s">
        <v>37</v>
      </c>
      <c r="D541" s="151">
        <v>178651.19</v>
      </c>
      <c r="E541" s="155" t="s">
        <v>550</v>
      </c>
      <c r="F541" s="152" t="s">
        <v>541</v>
      </c>
      <c r="G541" s="153">
        <v>211488.03</v>
      </c>
      <c r="H541" s="154">
        <v>42460</v>
      </c>
      <c r="I541" s="154">
        <v>42475</v>
      </c>
      <c r="J541" s="155">
        <v>178651.19</v>
      </c>
    </row>
    <row r="542" spans="1:10" ht="17.25" outlineLevel="1" thickBot="1" x14ac:dyDescent="0.3">
      <c r="A542" s="686" t="s">
        <v>628</v>
      </c>
      <c r="B542" s="687"/>
      <c r="C542" s="156"/>
      <c r="D542" s="157">
        <f>SUM(D536:D541)</f>
        <v>8666772.2999999989</v>
      </c>
      <c r="E542" s="88"/>
      <c r="F542" s="88"/>
      <c r="G542" s="158">
        <f>SUM(G536:G541)</f>
        <v>8638829.1399999987</v>
      </c>
      <c r="H542" s="88"/>
      <c r="I542" s="130"/>
      <c r="J542" s="68">
        <f>SUM(J536:J541)</f>
        <v>3004495.07</v>
      </c>
    </row>
    <row r="543" spans="1:10" ht="33" outlineLevel="1" x14ac:dyDescent="0.25">
      <c r="A543" s="731"/>
      <c r="B543" s="733" t="s">
        <v>149</v>
      </c>
      <c r="C543" s="91" t="s">
        <v>35</v>
      </c>
      <c r="D543" s="52">
        <v>315890.28999999998</v>
      </c>
      <c r="E543" s="52" t="s">
        <v>939</v>
      </c>
      <c r="F543" s="91" t="s">
        <v>938</v>
      </c>
      <c r="G543" s="149">
        <v>315890.28999999998</v>
      </c>
      <c r="H543" s="75">
        <v>42612</v>
      </c>
      <c r="I543" s="75">
        <v>42704</v>
      </c>
      <c r="J543" s="52">
        <v>232346.46</v>
      </c>
    </row>
    <row r="544" spans="1:10" ht="33" outlineLevel="1" x14ac:dyDescent="0.25">
      <c r="A544" s="731"/>
      <c r="B544" s="733"/>
      <c r="C544" s="91" t="s">
        <v>36</v>
      </c>
      <c r="D544" s="52">
        <v>261624.71</v>
      </c>
      <c r="E544" s="52" t="s">
        <v>939</v>
      </c>
      <c r="F544" s="91" t="s">
        <v>938</v>
      </c>
      <c r="G544" s="149">
        <v>261624.71</v>
      </c>
      <c r="H544" s="75">
        <v>42612</v>
      </c>
      <c r="I544" s="75">
        <v>42704</v>
      </c>
      <c r="J544" s="52">
        <v>253060.56</v>
      </c>
    </row>
    <row r="545" spans="1:10" s="24" customFormat="1" ht="33" outlineLevel="1" x14ac:dyDescent="0.25">
      <c r="A545" s="731"/>
      <c r="B545" s="733"/>
      <c r="C545" s="91" t="s">
        <v>500</v>
      </c>
      <c r="D545" s="52">
        <v>1587277.48</v>
      </c>
      <c r="E545" s="52" t="s">
        <v>939</v>
      </c>
      <c r="F545" s="91" t="s">
        <v>938</v>
      </c>
      <c r="G545" s="149">
        <v>1587277.48</v>
      </c>
      <c r="H545" s="75">
        <v>42673</v>
      </c>
      <c r="I545" s="75">
        <v>42714</v>
      </c>
      <c r="J545" s="52">
        <v>1710409.72</v>
      </c>
    </row>
    <row r="546" spans="1:10" ht="33" outlineLevel="1" x14ac:dyDescent="0.25">
      <c r="A546" s="731"/>
      <c r="B546" s="733"/>
      <c r="C546" s="140" t="s">
        <v>501</v>
      </c>
      <c r="D546" s="121">
        <v>5443614.9400000004</v>
      </c>
      <c r="E546" s="57" t="s">
        <v>1157</v>
      </c>
      <c r="F546" s="194" t="s">
        <v>660</v>
      </c>
      <c r="G546" s="207">
        <v>5443614.9400000004</v>
      </c>
      <c r="H546" s="55">
        <v>42917</v>
      </c>
      <c r="I546" s="56"/>
      <c r="J546" s="57"/>
    </row>
    <row r="547" spans="1:10" ht="16.5" outlineLevel="1" x14ac:dyDescent="0.25">
      <c r="A547" s="731"/>
      <c r="B547" s="733"/>
      <c r="C547" s="140" t="s">
        <v>1007</v>
      </c>
      <c r="D547" s="121">
        <v>46330</v>
      </c>
      <c r="E547" s="57"/>
      <c r="F547" s="194"/>
      <c r="G547" s="207"/>
      <c r="H547" s="55"/>
      <c r="I547" s="56"/>
      <c r="J547" s="57"/>
    </row>
    <row r="548" spans="1:10" ht="33" outlineLevel="1" x14ac:dyDescent="0.25">
      <c r="A548" s="731"/>
      <c r="B548" s="733"/>
      <c r="C548" s="150" t="s">
        <v>37</v>
      </c>
      <c r="D548" s="151">
        <v>170531.82</v>
      </c>
      <c r="E548" s="155" t="s">
        <v>550</v>
      </c>
      <c r="F548" s="152" t="s">
        <v>541</v>
      </c>
      <c r="G548" s="153">
        <v>201863.11</v>
      </c>
      <c r="H548" s="154">
        <v>42460</v>
      </c>
      <c r="I548" s="154">
        <v>42475</v>
      </c>
      <c r="J548" s="155">
        <v>170531.82</v>
      </c>
    </row>
    <row r="549" spans="1:10" ht="17.25" outlineLevel="1" thickBot="1" x14ac:dyDescent="0.3">
      <c r="A549" s="724" t="s">
        <v>628</v>
      </c>
      <c r="B549" s="725"/>
      <c r="C549" s="164"/>
      <c r="D549" s="157">
        <f>SUM(D543:D548)</f>
        <v>7825269.2400000002</v>
      </c>
      <c r="E549" s="90"/>
      <c r="F549" s="90"/>
      <c r="G549" s="158">
        <f>SUM(G543:G548)</f>
        <v>7810270.5300000003</v>
      </c>
      <c r="H549" s="90"/>
      <c r="I549" s="108"/>
      <c r="J549" s="249">
        <f>SUM(J543:J548)</f>
        <v>2366348.56</v>
      </c>
    </row>
    <row r="550" spans="1:10" ht="33" outlineLevel="1" x14ac:dyDescent="0.25">
      <c r="A550" s="731"/>
      <c r="B550" s="733" t="s">
        <v>150</v>
      </c>
      <c r="C550" s="91" t="s">
        <v>35</v>
      </c>
      <c r="D550" s="52">
        <v>315890.28999999998</v>
      </c>
      <c r="E550" s="52" t="s">
        <v>939</v>
      </c>
      <c r="F550" s="91" t="s">
        <v>938</v>
      </c>
      <c r="G550" s="149">
        <v>315890.28999999998</v>
      </c>
      <c r="H550" s="75">
        <v>42612</v>
      </c>
      <c r="I550" s="75">
        <v>42704</v>
      </c>
      <c r="J550" s="52">
        <v>312078.11</v>
      </c>
    </row>
    <row r="551" spans="1:10" ht="33" outlineLevel="1" x14ac:dyDescent="0.25">
      <c r="A551" s="731"/>
      <c r="B551" s="733"/>
      <c r="C551" s="91" t="s">
        <v>36</v>
      </c>
      <c r="D551" s="52">
        <v>261624.71</v>
      </c>
      <c r="E551" s="52" t="s">
        <v>939</v>
      </c>
      <c r="F551" s="91" t="s">
        <v>938</v>
      </c>
      <c r="G551" s="149">
        <v>261624.71</v>
      </c>
      <c r="H551" s="75">
        <v>42612</v>
      </c>
      <c r="I551" s="75">
        <v>42704</v>
      </c>
      <c r="J551" s="52">
        <v>234720.08</v>
      </c>
    </row>
    <row r="552" spans="1:10" s="24" customFormat="1" ht="33" outlineLevel="1" x14ac:dyDescent="0.25">
      <c r="A552" s="731"/>
      <c r="B552" s="733"/>
      <c r="C552" s="91" t="s">
        <v>500</v>
      </c>
      <c r="D552" s="52">
        <v>1587277.48</v>
      </c>
      <c r="E552" s="52" t="s">
        <v>939</v>
      </c>
      <c r="F552" s="91" t="s">
        <v>938</v>
      </c>
      <c r="G552" s="149">
        <v>1587277.48</v>
      </c>
      <c r="H552" s="75">
        <v>42673</v>
      </c>
      <c r="I552" s="75">
        <v>42714</v>
      </c>
      <c r="J552" s="52">
        <v>1711365.29</v>
      </c>
    </row>
    <row r="553" spans="1:10" ht="33" outlineLevel="1" x14ac:dyDescent="0.25">
      <c r="A553" s="731"/>
      <c r="B553" s="733"/>
      <c r="C553" s="140" t="s">
        <v>501</v>
      </c>
      <c r="D553" s="121">
        <v>5443614.9400000004</v>
      </c>
      <c r="E553" s="57" t="s">
        <v>1157</v>
      </c>
      <c r="F553" s="194" t="s">
        <v>660</v>
      </c>
      <c r="G553" s="207">
        <v>5443614.9400000004</v>
      </c>
      <c r="H553" s="55">
        <v>42917</v>
      </c>
      <c r="I553" s="56"/>
      <c r="J553" s="57"/>
    </row>
    <row r="554" spans="1:10" ht="16.5" outlineLevel="1" x14ac:dyDescent="0.25">
      <c r="A554" s="731"/>
      <c r="B554" s="733"/>
      <c r="C554" s="140" t="s">
        <v>1007</v>
      </c>
      <c r="D554" s="121">
        <v>46330</v>
      </c>
      <c r="E554" s="57"/>
      <c r="F554" s="194"/>
      <c r="G554" s="207"/>
      <c r="H554" s="55"/>
      <c r="I554" s="56"/>
      <c r="J554" s="57"/>
    </row>
    <row r="555" spans="1:10" ht="33" outlineLevel="1" x14ac:dyDescent="0.25">
      <c r="A555" s="731"/>
      <c r="B555" s="733"/>
      <c r="C555" s="150" t="s">
        <v>37</v>
      </c>
      <c r="D555" s="151">
        <v>160588.37</v>
      </c>
      <c r="E555" s="155" t="s">
        <v>550</v>
      </c>
      <c r="F555" s="152" t="s">
        <v>541</v>
      </c>
      <c r="G555" s="153">
        <v>190079.67</v>
      </c>
      <c r="H555" s="154">
        <v>42460</v>
      </c>
      <c r="I555" s="154">
        <v>42475</v>
      </c>
      <c r="J555" s="155">
        <v>160588.37</v>
      </c>
    </row>
    <row r="556" spans="1:10" ht="17.25" outlineLevel="1" thickBot="1" x14ac:dyDescent="0.3">
      <c r="A556" s="686" t="s">
        <v>628</v>
      </c>
      <c r="B556" s="687"/>
      <c r="C556" s="156"/>
      <c r="D556" s="157">
        <f>SUM(D550:D555)</f>
        <v>7815325.79</v>
      </c>
      <c r="E556" s="88"/>
      <c r="F556" s="88"/>
      <c r="G556" s="158">
        <f>SUM(G550:G555)</f>
        <v>7798487.0899999999</v>
      </c>
      <c r="H556" s="88"/>
      <c r="I556" s="130"/>
      <c r="J556" s="68">
        <f>SUM(J550:J555)</f>
        <v>2418751.85</v>
      </c>
    </row>
    <row r="557" spans="1:10" ht="33" outlineLevel="1" x14ac:dyDescent="0.25">
      <c r="A557" s="731"/>
      <c r="B557" s="733" t="s">
        <v>151</v>
      </c>
      <c r="C557" s="91" t="s">
        <v>35</v>
      </c>
      <c r="D557" s="52">
        <v>315890.28999999998</v>
      </c>
      <c r="E557" s="52" t="s">
        <v>939</v>
      </c>
      <c r="F557" s="91" t="s">
        <v>938</v>
      </c>
      <c r="G557" s="149">
        <v>315890.28999999998</v>
      </c>
      <c r="H557" s="75">
        <v>42612</v>
      </c>
      <c r="I557" s="75">
        <v>42704</v>
      </c>
      <c r="J557" s="52">
        <v>221940.48000000001</v>
      </c>
    </row>
    <row r="558" spans="1:10" ht="33" outlineLevel="1" x14ac:dyDescent="0.25">
      <c r="A558" s="731"/>
      <c r="B558" s="733"/>
      <c r="C558" s="91" t="s">
        <v>36</v>
      </c>
      <c r="D558" s="52">
        <v>261624.71</v>
      </c>
      <c r="E558" s="52" t="s">
        <v>939</v>
      </c>
      <c r="F558" s="91" t="s">
        <v>938</v>
      </c>
      <c r="G558" s="149">
        <v>261624.71</v>
      </c>
      <c r="H558" s="75">
        <v>42612</v>
      </c>
      <c r="I558" s="75">
        <v>42704</v>
      </c>
      <c r="J558" s="52">
        <v>216338.34</v>
      </c>
    </row>
    <row r="559" spans="1:10" s="24" customFormat="1" ht="33" outlineLevel="1" x14ac:dyDescent="0.25">
      <c r="A559" s="731"/>
      <c r="B559" s="733"/>
      <c r="C559" s="91" t="s">
        <v>500</v>
      </c>
      <c r="D559" s="52">
        <v>1587277.48</v>
      </c>
      <c r="E559" s="52" t="s">
        <v>939</v>
      </c>
      <c r="F559" s="91" t="s">
        <v>938</v>
      </c>
      <c r="G559" s="149">
        <v>1587277.48</v>
      </c>
      <c r="H559" s="75">
        <v>42673</v>
      </c>
      <c r="I559" s="75">
        <v>42714</v>
      </c>
      <c r="J559" s="52">
        <v>1711365.29</v>
      </c>
    </row>
    <row r="560" spans="1:10" ht="33" outlineLevel="1" x14ac:dyDescent="0.25">
      <c r="A560" s="731"/>
      <c r="B560" s="733"/>
      <c r="C560" s="140" t="s">
        <v>501</v>
      </c>
      <c r="D560" s="121">
        <v>5443614.9400000004</v>
      </c>
      <c r="E560" s="57" t="s">
        <v>1157</v>
      </c>
      <c r="F560" s="194" t="s">
        <v>660</v>
      </c>
      <c r="G560" s="207">
        <v>5443614.9400000004</v>
      </c>
      <c r="H560" s="55">
        <v>42917</v>
      </c>
      <c r="I560" s="56"/>
      <c r="J560" s="57"/>
    </row>
    <row r="561" spans="1:10" ht="16.5" outlineLevel="1" x14ac:dyDescent="0.25">
      <c r="A561" s="731"/>
      <c r="B561" s="733"/>
      <c r="C561" s="140" t="s">
        <v>1007</v>
      </c>
      <c r="D561" s="121">
        <v>46330</v>
      </c>
      <c r="E561" s="57"/>
      <c r="F561" s="194"/>
      <c r="G561" s="207"/>
      <c r="H561" s="55"/>
      <c r="I561" s="56"/>
      <c r="J561" s="57"/>
    </row>
    <row r="562" spans="1:10" ht="33" outlineLevel="1" x14ac:dyDescent="0.25">
      <c r="A562" s="731"/>
      <c r="B562" s="733"/>
      <c r="C562" s="150" t="s">
        <v>37</v>
      </c>
      <c r="D562" s="151">
        <v>160299.19</v>
      </c>
      <c r="E562" s="155" t="s">
        <v>550</v>
      </c>
      <c r="F562" s="152" t="s">
        <v>541</v>
      </c>
      <c r="G562" s="153">
        <v>189737.3</v>
      </c>
      <c r="H562" s="154">
        <v>42460</v>
      </c>
      <c r="I562" s="154">
        <v>42475</v>
      </c>
      <c r="J562" s="155">
        <v>160299.19</v>
      </c>
    </row>
    <row r="563" spans="1:10" ht="17.25" outlineLevel="1" thickBot="1" x14ac:dyDescent="0.3">
      <c r="A563" s="686" t="s">
        <v>628</v>
      </c>
      <c r="B563" s="687"/>
      <c r="C563" s="156"/>
      <c r="D563" s="157">
        <f>SUM(D557:D562)</f>
        <v>7815036.6100000003</v>
      </c>
      <c r="E563" s="88"/>
      <c r="F563" s="88"/>
      <c r="G563" s="158">
        <f>SUM(G557:G562)</f>
        <v>7798144.7199999997</v>
      </c>
      <c r="H563" s="88"/>
      <c r="I563" s="130"/>
      <c r="J563" s="68">
        <f>SUM(J557:J562)</f>
        <v>2309943.2999999998</v>
      </c>
    </row>
    <row r="564" spans="1:10" s="4" customFormat="1" ht="33" x14ac:dyDescent="0.25">
      <c r="A564" s="734">
        <v>7</v>
      </c>
      <c r="B564" s="732" t="s">
        <v>509</v>
      </c>
      <c r="C564" s="70" t="s">
        <v>35</v>
      </c>
      <c r="D564" s="51">
        <v>708012.53</v>
      </c>
      <c r="E564" s="70" t="s">
        <v>939</v>
      </c>
      <c r="F564" s="70" t="s">
        <v>938</v>
      </c>
      <c r="G564" s="148">
        <v>708012.53</v>
      </c>
      <c r="H564" s="50">
        <v>42612</v>
      </c>
      <c r="I564" s="75">
        <v>42704</v>
      </c>
      <c r="J564" s="51">
        <v>482758.65</v>
      </c>
    </row>
    <row r="565" spans="1:10" s="26" customFormat="1" ht="16.5" x14ac:dyDescent="0.25">
      <c r="A565" s="730"/>
      <c r="B565" s="735"/>
      <c r="C565" s="140" t="s">
        <v>1007</v>
      </c>
      <c r="D565" s="179">
        <v>15150</v>
      </c>
      <c r="E565" s="161"/>
      <c r="F565" s="161"/>
      <c r="G565" s="162"/>
      <c r="H565" s="58"/>
      <c r="I565" s="250"/>
      <c r="J565" s="251"/>
    </row>
    <row r="566" spans="1:10" ht="33" outlineLevel="1" x14ac:dyDescent="0.25">
      <c r="A566" s="731"/>
      <c r="B566" s="733"/>
      <c r="C566" s="150" t="s">
        <v>37</v>
      </c>
      <c r="D566" s="151">
        <v>56123.19</v>
      </c>
      <c r="E566" s="155" t="s">
        <v>550</v>
      </c>
      <c r="F566" s="152" t="s">
        <v>541</v>
      </c>
      <c r="G566" s="153">
        <v>56177.22</v>
      </c>
      <c r="H566" s="154">
        <v>42460</v>
      </c>
      <c r="I566" s="154">
        <v>42475</v>
      </c>
      <c r="J566" s="155">
        <v>56123.19</v>
      </c>
    </row>
    <row r="567" spans="1:10" ht="17.25" outlineLevel="1" thickBot="1" x14ac:dyDescent="0.3">
      <c r="A567" s="686" t="s">
        <v>628</v>
      </c>
      <c r="B567" s="687"/>
      <c r="C567" s="156"/>
      <c r="D567" s="157">
        <f>SUM(D564:D566)</f>
        <v>779285.72</v>
      </c>
      <c r="E567" s="88"/>
      <c r="F567" s="88"/>
      <c r="G567" s="158">
        <f>SUM(G564:G566)</f>
        <v>764189.75</v>
      </c>
      <c r="H567" s="88"/>
      <c r="I567" s="130"/>
      <c r="J567" s="68">
        <f>SUM(J564:J566)</f>
        <v>538881.84000000008</v>
      </c>
    </row>
    <row r="568" spans="1:10" s="22" customFormat="1" ht="33" x14ac:dyDescent="0.25">
      <c r="A568" s="734">
        <v>8</v>
      </c>
      <c r="B568" s="732" t="s">
        <v>510</v>
      </c>
      <c r="C568" s="70" t="s">
        <v>500</v>
      </c>
      <c r="D568" s="51">
        <v>4291263.8499999996</v>
      </c>
      <c r="E568" s="70" t="s">
        <v>939</v>
      </c>
      <c r="F568" s="70" t="s">
        <v>938</v>
      </c>
      <c r="G568" s="148">
        <v>4291263.8499999996</v>
      </c>
      <c r="H568" s="75">
        <v>42673</v>
      </c>
      <c r="I568" s="50">
        <v>42714</v>
      </c>
      <c r="J568" s="51">
        <v>4454329.99</v>
      </c>
    </row>
    <row r="569" spans="1:10" s="26" customFormat="1" ht="16.5" x14ac:dyDescent="0.25">
      <c r="A569" s="730"/>
      <c r="B569" s="735"/>
      <c r="C569" s="140" t="s">
        <v>1007</v>
      </c>
      <c r="D569" s="179">
        <v>91830</v>
      </c>
      <c r="E569" s="161"/>
      <c r="F569" s="161"/>
      <c r="G569" s="162"/>
      <c r="H569" s="55"/>
      <c r="I569" s="250"/>
      <c r="J569" s="251"/>
    </row>
    <row r="570" spans="1:10" ht="33" outlineLevel="1" x14ac:dyDescent="0.25">
      <c r="A570" s="731"/>
      <c r="B570" s="733"/>
      <c r="C570" s="150" t="s">
        <v>37</v>
      </c>
      <c r="D570" s="151">
        <v>109093.66</v>
      </c>
      <c r="E570" s="155" t="s">
        <v>550</v>
      </c>
      <c r="F570" s="152" t="s">
        <v>541</v>
      </c>
      <c r="G570" s="153">
        <v>109198.66</v>
      </c>
      <c r="H570" s="154">
        <v>42460</v>
      </c>
      <c r="I570" s="154">
        <v>42475</v>
      </c>
      <c r="J570" s="155">
        <v>109093.66</v>
      </c>
    </row>
    <row r="571" spans="1:10" ht="17.25" outlineLevel="1" thickBot="1" x14ac:dyDescent="0.3">
      <c r="A571" s="686" t="s">
        <v>628</v>
      </c>
      <c r="B571" s="687"/>
      <c r="C571" s="156"/>
      <c r="D571" s="157">
        <f>SUM(D568:D570)</f>
        <v>4492187.51</v>
      </c>
      <c r="E571" s="88"/>
      <c r="F571" s="88"/>
      <c r="G571" s="158">
        <f>SUM(G568:G570)</f>
        <v>4400462.51</v>
      </c>
      <c r="H571" s="88"/>
      <c r="I571" s="130"/>
      <c r="J571" s="68">
        <f>SUM(J568:J570)</f>
        <v>4563423.6500000004</v>
      </c>
    </row>
    <row r="572" spans="1:10" s="22" customFormat="1" ht="33" customHeight="1" x14ac:dyDescent="0.25">
      <c r="A572" s="734">
        <v>9</v>
      </c>
      <c r="B572" s="732" t="s">
        <v>511</v>
      </c>
      <c r="C572" s="70" t="s">
        <v>500</v>
      </c>
      <c r="D572" s="51">
        <v>4291263.82</v>
      </c>
      <c r="E572" s="70" t="s">
        <v>939</v>
      </c>
      <c r="F572" s="70" t="s">
        <v>938</v>
      </c>
      <c r="G572" s="148">
        <v>4291263.82</v>
      </c>
      <c r="H572" s="75">
        <v>42673</v>
      </c>
      <c r="I572" s="50">
        <v>42714</v>
      </c>
      <c r="J572" s="51">
        <v>4454329.99</v>
      </c>
    </row>
    <row r="573" spans="1:10" s="26" customFormat="1" ht="15" customHeight="1" x14ac:dyDescent="0.25">
      <c r="A573" s="730"/>
      <c r="B573" s="735"/>
      <c r="C573" s="140" t="s">
        <v>1007</v>
      </c>
      <c r="D573" s="179">
        <v>91830</v>
      </c>
      <c r="E573" s="161"/>
      <c r="F573" s="161"/>
      <c r="G573" s="162"/>
      <c r="H573" s="55"/>
      <c r="I573" s="250"/>
      <c r="J573" s="251"/>
    </row>
    <row r="574" spans="1:10" ht="33" outlineLevel="1" x14ac:dyDescent="0.25">
      <c r="A574" s="731"/>
      <c r="B574" s="733"/>
      <c r="C574" s="150" t="s">
        <v>37</v>
      </c>
      <c r="D574" s="151">
        <v>109093.66</v>
      </c>
      <c r="E574" s="155" t="s">
        <v>550</v>
      </c>
      <c r="F574" s="152" t="s">
        <v>541</v>
      </c>
      <c r="G574" s="153">
        <v>109198.66</v>
      </c>
      <c r="H574" s="154">
        <v>42460</v>
      </c>
      <c r="I574" s="154">
        <v>42475</v>
      </c>
      <c r="J574" s="155">
        <v>109093.66</v>
      </c>
    </row>
    <row r="575" spans="1:10" ht="15" customHeight="1" outlineLevel="1" thickBot="1" x14ac:dyDescent="0.3">
      <c r="A575" s="686" t="s">
        <v>628</v>
      </c>
      <c r="B575" s="687"/>
      <c r="C575" s="156"/>
      <c r="D575" s="157">
        <f>SUM(D572:D574)</f>
        <v>4492187.4800000004</v>
      </c>
      <c r="E575" s="88"/>
      <c r="F575" s="88"/>
      <c r="G575" s="158">
        <f>SUM(G572:G574)</f>
        <v>4400462.4800000004</v>
      </c>
      <c r="H575" s="88"/>
      <c r="I575" s="130"/>
      <c r="J575" s="68">
        <f>SUM(J572:J574)</f>
        <v>4563423.6500000004</v>
      </c>
    </row>
    <row r="576" spans="1:10" s="7" customFormat="1" ht="23.25" customHeight="1" outlineLevel="1" x14ac:dyDescent="0.25">
      <c r="A576" s="814" t="s">
        <v>1008</v>
      </c>
      <c r="B576" s="815"/>
      <c r="C576" s="253"/>
      <c r="D576" s="132">
        <v>918394.15</v>
      </c>
      <c r="E576" s="133"/>
      <c r="F576" s="134"/>
      <c r="G576" s="135">
        <f>SUM(G577:G581)</f>
        <v>918394.15</v>
      </c>
      <c r="H576" s="136"/>
      <c r="I576" s="137"/>
      <c r="J576" s="135">
        <f>SUM(J577:J581)</f>
        <v>853525.66</v>
      </c>
    </row>
    <row r="577" spans="1:10" s="7" customFormat="1" ht="27" customHeight="1" outlineLevel="1" x14ac:dyDescent="0.25">
      <c r="A577" s="733"/>
      <c r="B577" s="247" t="s">
        <v>1094</v>
      </c>
      <c r="C577" s="254" t="s">
        <v>37</v>
      </c>
      <c r="D577" s="141"/>
      <c r="E577" s="761" t="s">
        <v>1093</v>
      </c>
      <c r="F577" s="761" t="s">
        <v>541</v>
      </c>
      <c r="G577" s="141">
        <v>215213.91</v>
      </c>
      <c r="H577" s="672">
        <v>42724</v>
      </c>
      <c r="I577" s="485">
        <v>42744</v>
      </c>
      <c r="J577" s="141">
        <v>215213.91</v>
      </c>
    </row>
    <row r="578" spans="1:10" s="7" customFormat="1" ht="27" customHeight="1" outlineLevel="1" x14ac:dyDescent="0.25">
      <c r="A578" s="733"/>
      <c r="B578" s="247" t="s">
        <v>1095</v>
      </c>
      <c r="C578" s="254" t="s">
        <v>37</v>
      </c>
      <c r="D578" s="141"/>
      <c r="E578" s="762"/>
      <c r="F578" s="762"/>
      <c r="G578" s="141">
        <v>169446.25</v>
      </c>
      <c r="H578" s="842"/>
      <c r="I578" s="485">
        <v>42744</v>
      </c>
      <c r="J578" s="141">
        <v>169446.25</v>
      </c>
    </row>
    <row r="579" spans="1:10" s="7" customFormat="1" ht="31.5" customHeight="1" outlineLevel="1" x14ac:dyDescent="0.25">
      <c r="A579" s="733"/>
      <c r="B579" s="247" t="s">
        <v>1096</v>
      </c>
      <c r="C579" s="254" t="s">
        <v>37</v>
      </c>
      <c r="D579" s="141"/>
      <c r="E579" s="762"/>
      <c r="F579" s="762"/>
      <c r="G579" s="141">
        <v>182691.27</v>
      </c>
      <c r="H579" s="842"/>
      <c r="I579" s="485">
        <v>42744</v>
      </c>
      <c r="J579" s="141">
        <v>182691.27</v>
      </c>
    </row>
    <row r="580" spans="1:10" s="7" customFormat="1" ht="27.75" customHeight="1" outlineLevel="1" x14ac:dyDescent="0.25">
      <c r="A580" s="733"/>
      <c r="B580" s="247" t="s">
        <v>1097</v>
      </c>
      <c r="C580" s="254" t="s">
        <v>37</v>
      </c>
      <c r="D580" s="141"/>
      <c r="E580" s="762"/>
      <c r="F580" s="762"/>
      <c r="G580" s="141">
        <v>182602.23</v>
      </c>
      <c r="H580" s="842"/>
      <c r="I580" s="485">
        <v>42744</v>
      </c>
      <c r="J580" s="141">
        <v>182602.23</v>
      </c>
    </row>
    <row r="581" spans="1:10" s="7" customFormat="1" ht="27.75" customHeight="1" outlineLevel="1" x14ac:dyDescent="0.25">
      <c r="A581" s="733"/>
      <c r="B581" s="247" t="s">
        <v>1355</v>
      </c>
      <c r="C581" s="254" t="s">
        <v>37</v>
      </c>
      <c r="D581" s="141"/>
      <c r="E581" s="763"/>
      <c r="F581" s="763"/>
      <c r="G581" s="141">
        <v>168440.49</v>
      </c>
      <c r="H581" s="843"/>
      <c r="I581" s="485">
        <v>42744</v>
      </c>
      <c r="J581" s="141">
        <v>103572</v>
      </c>
    </row>
    <row r="582" spans="1:10" ht="17.25" outlineLevel="1" thickBot="1" x14ac:dyDescent="0.3">
      <c r="A582" s="726" t="s">
        <v>629</v>
      </c>
      <c r="B582" s="727"/>
      <c r="C582" s="145"/>
      <c r="D582" s="192">
        <f>SUM(D575,D571,D567,D563,D556,D549,D542,D535,D528,D576)</f>
        <v>59278904.649999999</v>
      </c>
      <c r="E582" s="145"/>
      <c r="F582" s="145"/>
      <c r="G582" s="190">
        <f>SUM(G576,G575,G571,G567,G563,G556,G549,G542,G535,G528)</f>
        <v>58957482.589999996</v>
      </c>
      <c r="H582" s="145"/>
      <c r="I582" s="146"/>
      <c r="J582" s="192">
        <f>SUM(J575,J571,J576,J567,J563,J556,J549,J542,J535,J528)</f>
        <v>25969032.940000001</v>
      </c>
    </row>
    <row r="583" spans="1:10" s="4" customFormat="1" ht="21" customHeight="1" thickBot="1" x14ac:dyDescent="0.3">
      <c r="A583" s="759" t="s">
        <v>636</v>
      </c>
      <c r="B583" s="760"/>
      <c r="C583" s="760"/>
      <c r="D583" s="760"/>
      <c r="E583" s="760"/>
      <c r="F583" s="760"/>
      <c r="G583" s="760"/>
      <c r="H583" s="760"/>
      <c r="I583" s="760"/>
      <c r="J583" s="760"/>
    </row>
    <row r="584" spans="1:10" s="4" customFormat="1" ht="33" x14ac:dyDescent="0.25">
      <c r="A584" s="734">
        <v>1</v>
      </c>
      <c r="B584" s="732" t="s">
        <v>156</v>
      </c>
      <c r="C584" s="70" t="s">
        <v>500</v>
      </c>
      <c r="D584" s="51">
        <v>8484000</v>
      </c>
      <c r="E584" s="70" t="s">
        <v>1020</v>
      </c>
      <c r="F584" s="70" t="s">
        <v>684</v>
      </c>
      <c r="G584" s="148">
        <v>8484000</v>
      </c>
      <c r="H584" s="50">
        <v>42701</v>
      </c>
      <c r="I584" s="50">
        <v>42713</v>
      </c>
      <c r="J584" s="51">
        <v>7809380.5199999996</v>
      </c>
    </row>
    <row r="585" spans="1:10" ht="33" outlineLevel="1" x14ac:dyDescent="0.25">
      <c r="A585" s="731"/>
      <c r="B585" s="733"/>
      <c r="C585" s="150" t="s">
        <v>37</v>
      </c>
      <c r="D585" s="151">
        <v>95282.69</v>
      </c>
      <c r="E585" s="152" t="s">
        <v>546</v>
      </c>
      <c r="F585" s="152" t="s">
        <v>543</v>
      </c>
      <c r="G585" s="153">
        <v>95282.68</v>
      </c>
      <c r="H585" s="154">
        <v>42363</v>
      </c>
      <c r="I585" s="154">
        <v>42635</v>
      </c>
      <c r="J585" s="155">
        <v>95282.69</v>
      </c>
    </row>
    <row r="586" spans="1:10" ht="17.25" outlineLevel="1" thickBot="1" x14ac:dyDescent="0.3">
      <c r="A586" s="686" t="s">
        <v>628</v>
      </c>
      <c r="B586" s="687"/>
      <c r="C586" s="156"/>
      <c r="D586" s="157">
        <f>SUM(D584:D585)</f>
        <v>8579282.6899999995</v>
      </c>
      <c r="E586" s="88"/>
      <c r="F586" s="88"/>
      <c r="G586" s="158">
        <f>SUM(G584:G585)</f>
        <v>8579282.6799999997</v>
      </c>
      <c r="H586" s="88"/>
      <c r="I586" s="130"/>
      <c r="J586" s="157">
        <f>SUM(J584:J585)</f>
        <v>7904663.21</v>
      </c>
    </row>
    <row r="587" spans="1:10" s="4" customFormat="1" ht="33" x14ac:dyDescent="0.25">
      <c r="A587" s="734">
        <v>2</v>
      </c>
      <c r="B587" s="732" t="s">
        <v>155</v>
      </c>
      <c r="C587" s="70" t="s">
        <v>500</v>
      </c>
      <c r="D587" s="51">
        <v>3201395.15</v>
      </c>
      <c r="E587" s="70" t="s">
        <v>1339</v>
      </c>
      <c r="F587" s="240" t="s">
        <v>684</v>
      </c>
      <c r="G587" s="148">
        <v>3201395.15</v>
      </c>
      <c r="H587" s="50">
        <v>42691</v>
      </c>
      <c r="I587" s="50">
        <v>42713</v>
      </c>
      <c r="J587" s="51">
        <v>3200536.48</v>
      </c>
    </row>
    <row r="588" spans="1:10" ht="33" outlineLevel="1" x14ac:dyDescent="0.25">
      <c r="A588" s="731"/>
      <c r="B588" s="733"/>
      <c r="C588" s="150" t="s">
        <v>37</v>
      </c>
      <c r="D588" s="151">
        <v>94156.77</v>
      </c>
      <c r="E588" s="152" t="s">
        <v>546</v>
      </c>
      <c r="F588" s="152" t="s">
        <v>543</v>
      </c>
      <c r="G588" s="153">
        <v>94156.77</v>
      </c>
      <c r="H588" s="154">
        <v>42363</v>
      </c>
      <c r="I588" s="154">
        <v>42635</v>
      </c>
      <c r="J588" s="155">
        <v>94156.77</v>
      </c>
    </row>
    <row r="589" spans="1:10" ht="17.25" outlineLevel="1" thickBot="1" x14ac:dyDescent="0.3">
      <c r="A589" s="686" t="s">
        <v>628</v>
      </c>
      <c r="B589" s="687"/>
      <c r="C589" s="156"/>
      <c r="D589" s="157">
        <f>SUM(D587:D588)</f>
        <v>3295551.92</v>
      </c>
      <c r="E589" s="88"/>
      <c r="F589" s="88"/>
      <c r="G589" s="158">
        <f>SUM(G587:G588)</f>
        <v>3295551.92</v>
      </c>
      <c r="H589" s="88"/>
      <c r="I589" s="130"/>
      <c r="J589" s="157">
        <f>SUM(J587:J588)</f>
        <v>3294693.25</v>
      </c>
    </row>
    <row r="590" spans="1:10" s="4" customFormat="1" ht="33" x14ac:dyDescent="0.25">
      <c r="A590" s="734">
        <v>3</v>
      </c>
      <c r="B590" s="732" t="s">
        <v>152</v>
      </c>
      <c r="C590" s="70" t="s">
        <v>500</v>
      </c>
      <c r="D590" s="51">
        <v>9374604.4900000002</v>
      </c>
      <c r="E590" s="70" t="s">
        <v>1339</v>
      </c>
      <c r="F590" s="240" t="s">
        <v>684</v>
      </c>
      <c r="G590" s="148">
        <v>9374604.4900000002</v>
      </c>
      <c r="H590" s="50">
        <v>42691</v>
      </c>
      <c r="I590" s="50">
        <v>42703</v>
      </c>
      <c r="J590" s="51">
        <v>10104141.359999999</v>
      </c>
    </row>
    <row r="591" spans="1:10" ht="33" outlineLevel="1" x14ac:dyDescent="0.25">
      <c r="A591" s="731"/>
      <c r="B591" s="733"/>
      <c r="C591" s="646" t="s">
        <v>501</v>
      </c>
      <c r="D591" s="647">
        <v>25897299.52</v>
      </c>
      <c r="E591" s="646" t="s">
        <v>1043</v>
      </c>
      <c r="F591" s="646" t="s">
        <v>684</v>
      </c>
      <c r="G591" s="149">
        <v>25897000</v>
      </c>
      <c r="H591" s="648">
        <v>42809</v>
      </c>
      <c r="I591" s="648">
        <v>42899</v>
      </c>
      <c r="J591" s="647">
        <v>23249917.73</v>
      </c>
    </row>
    <row r="592" spans="1:10" ht="33" outlineLevel="1" x14ac:dyDescent="0.25">
      <c r="A592" s="731"/>
      <c r="B592" s="733"/>
      <c r="C592" s="150" t="s">
        <v>37</v>
      </c>
      <c r="D592" s="151">
        <v>199890.39</v>
      </c>
      <c r="E592" s="152" t="s">
        <v>546</v>
      </c>
      <c r="F592" s="152" t="s">
        <v>543</v>
      </c>
      <c r="G592" s="153">
        <v>199890.4</v>
      </c>
      <c r="H592" s="154">
        <v>42363</v>
      </c>
      <c r="I592" s="154">
        <v>42635</v>
      </c>
      <c r="J592" s="155">
        <v>199890.39</v>
      </c>
    </row>
    <row r="593" spans="1:10" ht="17.25" outlineLevel="1" thickBot="1" x14ac:dyDescent="0.3">
      <c r="A593" s="686" t="s">
        <v>628</v>
      </c>
      <c r="B593" s="687"/>
      <c r="C593" s="156"/>
      <c r="D593" s="157">
        <f>SUM(D590:D592)</f>
        <v>35471794.399999999</v>
      </c>
      <c r="E593" s="88"/>
      <c r="F593" s="88"/>
      <c r="G593" s="158">
        <f>SUM(G590:G592)</f>
        <v>35471494.890000001</v>
      </c>
      <c r="H593" s="88"/>
      <c r="I593" s="130"/>
      <c r="J593" s="157">
        <f>SUM(J590:J592)</f>
        <v>33553949.48</v>
      </c>
    </row>
    <row r="594" spans="1:10" s="4" customFormat="1" ht="33" x14ac:dyDescent="0.25">
      <c r="A594" s="734">
        <v>4</v>
      </c>
      <c r="B594" s="732" t="s">
        <v>153</v>
      </c>
      <c r="C594" s="70" t="s">
        <v>500</v>
      </c>
      <c r="D594" s="51">
        <v>3724000</v>
      </c>
      <c r="E594" s="70" t="s">
        <v>1032</v>
      </c>
      <c r="F594" s="70" t="s">
        <v>684</v>
      </c>
      <c r="G594" s="148">
        <v>3724000</v>
      </c>
      <c r="H594" s="50">
        <v>42719</v>
      </c>
      <c r="I594" s="50">
        <v>42713</v>
      </c>
      <c r="J594" s="51">
        <v>3648199.77</v>
      </c>
    </row>
    <row r="595" spans="1:10" s="22" customFormat="1" ht="33" x14ac:dyDescent="0.25">
      <c r="A595" s="730"/>
      <c r="B595" s="735"/>
      <c r="C595" s="91" t="s">
        <v>501</v>
      </c>
      <c r="D595" s="107">
        <v>10313000</v>
      </c>
      <c r="E595" s="105" t="s">
        <v>1022</v>
      </c>
      <c r="F595" s="105" t="s">
        <v>684</v>
      </c>
      <c r="G595" s="226">
        <v>10313000</v>
      </c>
      <c r="H595" s="76">
        <v>42719</v>
      </c>
      <c r="I595" s="76">
        <v>42726</v>
      </c>
      <c r="J595" s="107">
        <v>9928567.3800000008</v>
      </c>
    </row>
    <row r="596" spans="1:10" ht="33" outlineLevel="1" x14ac:dyDescent="0.25">
      <c r="A596" s="731"/>
      <c r="B596" s="733"/>
      <c r="C596" s="150" t="s">
        <v>37</v>
      </c>
      <c r="D596" s="151">
        <v>97534.080000000002</v>
      </c>
      <c r="E596" s="152" t="s">
        <v>546</v>
      </c>
      <c r="F596" s="152" t="s">
        <v>543</v>
      </c>
      <c r="G596" s="153">
        <v>97534.080000000002</v>
      </c>
      <c r="H596" s="154">
        <v>42363</v>
      </c>
      <c r="I596" s="154">
        <v>42635</v>
      </c>
      <c r="J596" s="155">
        <v>97534.080000000002</v>
      </c>
    </row>
    <row r="597" spans="1:10" ht="17.25" outlineLevel="1" thickBot="1" x14ac:dyDescent="0.3">
      <c r="A597" s="686" t="s">
        <v>628</v>
      </c>
      <c r="B597" s="687"/>
      <c r="C597" s="156"/>
      <c r="D597" s="157">
        <f>SUM(D594:D596)</f>
        <v>14134534.08</v>
      </c>
      <c r="E597" s="65"/>
      <c r="F597" s="65"/>
      <c r="G597" s="158">
        <f>SUM(G594:G596)</f>
        <v>14134534.08</v>
      </c>
      <c r="H597" s="65"/>
      <c r="I597" s="67"/>
      <c r="J597" s="157">
        <f>SUM(J594:J596)</f>
        <v>13674301.23</v>
      </c>
    </row>
    <row r="598" spans="1:10" s="4" customFormat="1" ht="33" x14ac:dyDescent="0.25">
      <c r="A598" s="734">
        <v>5</v>
      </c>
      <c r="B598" s="732" t="s">
        <v>154</v>
      </c>
      <c r="C598" s="488" t="s">
        <v>500</v>
      </c>
      <c r="D598" s="51">
        <v>12294772.82</v>
      </c>
      <c r="E598" s="488" t="s">
        <v>1038</v>
      </c>
      <c r="F598" s="487" t="s">
        <v>800</v>
      </c>
      <c r="G598" s="148">
        <v>12924772.82</v>
      </c>
      <c r="H598" s="491">
        <v>42733</v>
      </c>
      <c r="I598" s="491">
        <v>42814</v>
      </c>
      <c r="J598" s="51">
        <v>11557386.1</v>
      </c>
    </row>
    <row r="599" spans="1:10" s="26" customFormat="1" ht="33" x14ac:dyDescent="0.25">
      <c r="A599" s="730"/>
      <c r="B599" s="735"/>
      <c r="C599" s="489" t="s">
        <v>501</v>
      </c>
      <c r="D599" s="490">
        <v>12325671.119999999</v>
      </c>
      <c r="E599" s="487" t="s">
        <v>1012</v>
      </c>
      <c r="F599" s="487" t="s">
        <v>800</v>
      </c>
      <c r="G599" s="226">
        <v>12325671.119999999</v>
      </c>
      <c r="H599" s="486">
        <v>42733</v>
      </c>
      <c r="I599" s="486">
        <v>42814</v>
      </c>
      <c r="J599" s="490">
        <v>13272976.300000001</v>
      </c>
    </row>
    <row r="600" spans="1:10" ht="33" outlineLevel="1" x14ac:dyDescent="0.25">
      <c r="A600" s="731"/>
      <c r="B600" s="733"/>
      <c r="C600" s="150" t="s">
        <v>37</v>
      </c>
      <c r="D600" s="151">
        <v>103136.07</v>
      </c>
      <c r="E600" s="152" t="s">
        <v>546</v>
      </c>
      <c r="F600" s="152" t="s">
        <v>543</v>
      </c>
      <c r="G600" s="153">
        <v>103136.07</v>
      </c>
      <c r="H600" s="154">
        <v>42363</v>
      </c>
      <c r="I600" s="154">
        <v>42635</v>
      </c>
      <c r="J600" s="155">
        <v>103136.07</v>
      </c>
    </row>
    <row r="601" spans="1:10" ht="17.25" outlineLevel="1" thickBot="1" x14ac:dyDescent="0.3">
      <c r="A601" s="686" t="s">
        <v>628</v>
      </c>
      <c r="B601" s="687"/>
      <c r="C601" s="156"/>
      <c r="D601" s="157">
        <f>SUM(D598:D600)</f>
        <v>24723580.009999998</v>
      </c>
      <c r="E601" s="88"/>
      <c r="F601" s="88"/>
      <c r="G601" s="158">
        <f>SUM(G598:G600)</f>
        <v>25353580.009999998</v>
      </c>
      <c r="H601" s="88"/>
      <c r="I601" s="130"/>
      <c r="J601" s="157">
        <f>SUM(J598:J600)</f>
        <v>24933498.469999999</v>
      </c>
    </row>
    <row r="602" spans="1:10" s="31" customFormat="1" ht="45" customHeight="1" outlineLevel="1" x14ac:dyDescent="0.25">
      <c r="A602" s="255"/>
      <c r="B602" s="256" t="s">
        <v>512</v>
      </c>
      <c r="C602" s="152" t="s">
        <v>37</v>
      </c>
      <c r="D602" s="155">
        <v>144416.16</v>
      </c>
      <c r="E602" s="152" t="s">
        <v>1335</v>
      </c>
      <c r="F602" s="152" t="s">
        <v>1336</v>
      </c>
      <c r="G602" s="257">
        <v>122386.58</v>
      </c>
      <c r="H602" s="154">
        <v>42489</v>
      </c>
      <c r="I602" s="154">
        <v>42489</v>
      </c>
      <c r="J602" s="155">
        <v>144416.16</v>
      </c>
    </row>
    <row r="603" spans="1:10" ht="17.25" outlineLevel="1" thickBot="1" x14ac:dyDescent="0.3">
      <c r="A603" s="686" t="s">
        <v>628</v>
      </c>
      <c r="B603" s="687"/>
      <c r="C603" s="156"/>
      <c r="D603" s="157">
        <f t="shared" ref="D603:J603" si="1">SUM(D602:D602)</f>
        <v>144416.16</v>
      </c>
      <c r="E603" s="157">
        <f t="shared" si="1"/>
        <v>0</v>
      </c>
      <c r="F603" s="157">
        <f t="shared" si="1"/>
        <v>0</v>
      </c>
      <c r="G603" s="157">
        <f t="shared" si="1"/>
        <v>122386.58</v>
      </c>
      <c r="H603" s="157">
        <f t="shared" si="1"/>
        <v>42489</v>
      </c>
      <c r="I603" s="157">
        <f t="shared" si="1"/>
        <v>42489</v>
      </c>
      <c r="J603" s="157">
        <f t="shared" si="1"/>
        <v>144416.16</v>
      </c>
    </row>
    <row r="604" spans="1:10" ht="33.75" outlineLevel="1" thickBot="1" x14ac:dyDescent="0.3">
      <c r="A604" s="258">
        <v>7</v>
      </c>
      <c r="B604" s="259" t="s">
        <v>1004</v>
      </c>
      <c r="C604" s="221" t="s">
        <v>500</v>
      </c>
      <c r="D604" s="232">
        <v>3185518.56</v>
      </c>
      <c r="E604" s="221" t="s">
        <v>1161</v>
      </c>
      <c r="F604" s="240" t="s">
        <v>800</v>
      </c>
      <c r="G604" s="260">
        <v>3185518.56</v>
      </c>
      <c r="H604" s="92">
        <v>42657</v>
      </c>
      <c r="I604" s="92">
        <v>42691</v>
      </c>
      <c r="J604" s="232">
        <v>3383246.44</v>
      </c>
    </row>
    <row r="605" spans="1:10" ht="17.25" outlineLevel="1" thickBot="1" x14ac:dyDescent="0.3">
      <c r="A605" s="741" t="s">
        <v>628</v>
      </c>
      <c r="B605" s="742"/>
      <c r="C605" s="261"/>
      <c r="D605" s="262">
        <f>SUM(D604:D604)</f>
        <v>3185518.56</v>
      </c>
      <c r="E605" s="263"/>
      <c r="F605" s="264"/>
      <c r="G605" s="265">
        <v>3185518.56</v>
      </c>
      <c r="H605" s="266"/>
      <c r="I605" s="137"/>
      <c r="J605" s="262">
        <f>J604</f>
        <v>3383246.44</v>
      </c>
    </row>
    <row r="606" spans="1:10" s="7" customFormat="1" ht="19.5" customHeight="1" outlineLevel="1" x14ac:dyDescent="0.25">
      <c r="A606" s="814" t="s">
        <v>1008</v>
      </c>
      <c r="B606" s="815"/>
      <c r="C606" s="844"/>
      <c r="D606" s="183">
        <v>498108.36</v>
      </c>
      <c r="E606" s="133"/>
      <c r="F606" s="82"/>
      <c r="G606" s="183">
        <f>SUM(G607:G611)</f>
        <v>498108.36139999999</v>
      </c>
      <c r="H606" s="136"/>
      <c r="I606" s="163"/>
      <c r="J606" s="496">
        <f>SUM(J607:J611)</f>
        <v>197188.43</v>
      </c>
    </row>
    <row r="607" spans="1:10" s="7" customFormat="1" ht="28.5" customHeight="1" outlineLevel="1" x14ac:dyDescent="0.25">
      <c r="A607" s="743"/>
      <c r="B607" s="267" t="s">
        <v>1081</v>
      </c>
      <c r="C607" s="178" t="s">
        <v>37</v>
      </c>
      <c r="D607" s="268"/>
      <c r="E607" s="761" t="s">
        <v>1086</v>
      </c>
      <c r="F607" s="841" t="s">
        <v>1087</v>
      </c>
      <c r="G607" s="268">
        <v>101667.325</v>
      </c>
      <c r="H607" s="672">
        <v>42756</v>
      </c>
      <c r="I607" s="842">
        <v>42815</v>
      </c>
      <c r="J607" s="141"/>
    </row>
    <row r="608" spans="1:10" s="7" customFormat="1" ht="30.75" customHeight="1" outlineLevel="1" x14ac:dyDescent="0.25">
      <c r="A608" s="743"/>
      <c r="B608" s="267" t="s">
        <v>1082</v>
      </c>
      <c r="C608" s="140" t="s">
        <v>37</v>
      </c>
      <c r="D608" s="141"/>
      <c r="E608" s="762"/>
      <c r="F608" s="841"/>
      <c r="G608" s="141">
        <v>98551.015799999994</v>
      </c>
      <c r="H608" s="842"/>
      <c r="I608" s="673"/>
      <c r="J608" s="151">
        <v>98551.01</v>
      </c>
    </row>
    <row r="609" spans="1:10" s="7" customFormat="1" ht="30.75" customHeight="1" outlineLevel="1" x14ac:dyDescent="0.25">
      <c r="A609" s="743"/>
      <c r="B609" s="270" t="s">
        <v>1083</v>
      </c>
      <c r="C609" s="140" t="s">
        <v>37</v>
      </c>
      <c r="D609" s="141"/>
      <c r="E609" s="762"/>
      <c r="F609" s="841"/>
      <c r="G609" s="141">
        <v>100080.69699999999</v>
      </c>
      <c r="H609" s="842"/>
      <c r="I609" s="673"/>
      <c r="J609" s="141"/>
    </row>
    <row r="610" spans="1:10" s="7" customFormat="1" ht="29.25" customHeight="1" outlineLevel="1" x14ac:dyDescent="0.25">
      <c r="A610" s="743"/>
      <c r="B610" s="271" t="s">
        <v>1084</v>
      </c>
      <c r="C610" s="140" t="s">
        <v>37</v>
      </c>
      <c r="D610" s="141"/>
      <c r="E610" s="762"/>
      <c r="F610" s="841"/>
      <c r="G610" s="141">
        <v>99171.908200000005</v>
      </c>
      <c r="H610" s="842"/>
      <c r="I610" s="673"/>
      <c r="J610" s="141"/>
    </row>
    <row r="611" spans="1:10" s="7" customFormat="1" ht="31.5" customHeight="1" outlineLevel="1" thickBot="1" x14ac:dyDescent="0.3">
      <c r="A611" s="743"/>
      <c r="B611" s="271" t="s">
        <v>1085</v>
      </c>
      <c r="C611" s="164" t="s">
        <v>37</v>
      </c>
      <c r="D611" s="272"/>
      <c r="E611" s="762"/>
      <c r="F611" s="841"/>
      <c r="G611" s="223">
        <v>98637.415399999998</v>
      </c>
      <c r="H611" s="842"/>
      <c r="I611" s="673"/>
      <c r="J611" s="614">
        <v>98637.42</v>
      </c>
    </row>
    <row r="612" spans="1:10" ht="17.25" outlineLevel="1" thickBot="1" x14ac:dyDescent="0.3">
      <c r="A612" s="738" t="s">
        <v>629</v>
      </c>
      <c r="B612" s="739"/>
      <c r="C612" s="44"/>
      <c r="D612" s="43">
        <f>SUM(D601,D597,D593,D589,D586,D605,D603,D606)</f>
        <v>90032786.179999992</v>
      </c>
      <c r="E612" s="44"/>
      <c r="F612" s="44"/>
      <c r="G612" s="192">
        <f>SUM(G601,G597,G593,G589,G586,G605,G603,G606,)</f>
        <v>90640457.081399977</v>
      </c>
      <c r="H612" s="44"/>
      <c r="I612" s="205"/>
      <c r="J612" s="192">
        <f>SUM(J601,J597,J593,J589,J586,J605,J606,J603)</f>
        <v>87085956.670000002</v>
      </c>
    </row>
    <row r="613" spans="1:10" s="4" customFormat="1" ht="23.25" customHeight="1" thickBot="1" x14ac:dyDescent="0.3">
      <c r="A613" s="772" t="s">
        <v>637</v>
      </c>
      <c r="B613" s="773"/>
      <c r="C613" s="773"/>
      <c r="D613" s="773"/>
      <c r="E613" s="773"/>
      <c r="F613" s="773"/>
      <c r="G613" s="773"/>
      <c r="H613" s="773"/>
      <c r="I613" s="773"/>
      <c r="J613" s="773"/>
    </row>
    <row r="614" spans="1:10" s="4" customFormat="1" ht="33" x14ac:dyDescent="0.25">
      <c r="A614" s="730">
        <v>1</v>
      </c>
      <c r="B614" s="735" t="s">
        <v>157</v>
      </c>
      <c r="C614" s="105" t="s">
        <v>34</v>
      </c>
      <c r="D614" s="107">
        <v>10814626.539999999</v>
      </c>
      <c r="E614" s="105" t="s">
        <v>698</v>
      </c>
      <c r="F614" s="70" t="s">
        <v>697</v>
      </c>
      <c r="G614" s="226">
        <v>12300000</v>
      </c>
      <c r="H614" s="76">
        <v>42515</v>
      </c>
      <c r="I614" s="76">
        <v>42494</v>
      </c>
      <c r="J614" s="107">
        <v>10814626.539999999</v>
      </c>
    </row>
    <row r="615" spans="1:10" ht="33.75" customHeight="1" outlineLevel="1" x14ac:dyDescent="0.25">
      <c r="A615" s="731"/>
      <c r="B615" s="733"/>
      <c r="C615" s="116" t="s">
        <v>37</v>
      </c>
      <c r="D615" s="59">
        <v>85004.544999999998</v>
      </c>
      <c r="E615" s="60" t="s">
        <v>562</v>
      </c>
      <c r="F615" s="60" t="s">
        <v>548</v>
      </c>
      <c r="G615" s="61">
        <f>72037.75*1.18</f>
        <v>85004.544999999998</v>
      </c>
      <c r="H615" s="62">
        <v>42379</v>
      </c>
      <c r="I615" s="62">
        <v>42349</v>
      </c>
      <c r="J615" s="63">
        <v>85004.549999999988</v>
      </c>
    </row>
    <row r="616" spans="1:10" ht="17.25" outlineLevel="1" thickBot="1" x14ac:dyDescent="0.3">
      <c r="A616" s="686" t="s">
        <v>628</v>
      </c>
      <c r="B616" s="687"/>
      <c r="C616" s="156"/>
      <c r="D616" s="157">
        <f>SUM(D614:D615)</f>
        <v>10899631.084999999</v>
      </c>
      <c r="E616" s="88"/>
      <c r="F616" s="88"/>
      <c r="G616" s="158">
        <f>SUM(G614:G615)</f>
        <v>12385004.545</v>
      </c>
      <c r="H616" s="88"/>
      <c r="I616" s="130"/>
      <c r="J616" s="157">
        <f>SUM(J614:J615)</f>
        <v>10899631.09</v>
      </c>
    </row>
    <row r="617" spans="1:10" s="4" customFormat="1" ht="33" x14ac:dyDescent="0.25">
      <c r="A617" s="734">
        <v>2</v>
      </c>
      <c r="B617" s="732" t="s">
        <v>168</v>
      </c>
      <c r="C617" s="70" t="s">
        <v>500</v>
      </c>
      <c r="D617" s="51">
        <v>4927114</v>
      </c>
      <c r="E617" s="70" t="s">
        <v>777</v>
      </c>
      <c r="F617" s="70" t="s">
        <v>776</v>
      </c>
      <c r="G617" s="148">
        <v>5211009.63</v>
      </c>
      <c r="H617" s="50">
        <v>42562</v>
      </c>
      <c r="I617" s="50">
        <v>42578</v>
      </c>
      <c r="J617" s="51">
        <v>4927114</v>
      </c>
    </row>
    <row r="618" spans="1:10" ht="39.75" customHeight="1" outlineLevel="1" x14ac:dyDescent="0.25">
      <c r="A618" s="731"/>
      <c r="B618" s="733"/>
      <c r="C618" s="116" t="s">
        <v>37</v>
      </c>
      <c r="D618" s="59">
        <v>98706.929199999999</v>
      </c>
      <c r="E618" s="60" t="s">
        <v>561</v>
      </c>
      <c r="F618" s="60" t="s">
        <v>548</v>
      </c>
      <c r="G618" s="61">
        <f>83649.94*1.18</f>
        <v>98706.929199999999</v>
      </c>
      <c r="H618" s="62">
        <v>42379</v>
      </c>
      <c r="I618" s="62">
        <v>42419</v>
      </c>
      <c r="J618" s="63">
        <v>98706.93</v>
      </c>
    </row>
    <row r="619" spans="1:10" ht="17.25" outlineLevel="1" thickBot="1" x14ac:dyDescent="0.3">
      <c r="A619" s="686" t="s">
        <v>628</v>
      </c>
      <c r="B619" s="687"/>
      <c r="C619" s="156"/>
      <c r="D619" s="157">
        <f>SUM(D617:D618)</f>
        <v>5025820.9292000001</v>
      </c>
      <c r="E619" s="65"/>
      <c r="F619" s="65"/>
      <c r="G619" s="158">
        <f>SUM(G617:G618)</f>
        <v>5309716.5592</v>
      </c>
      <c r="H619" s="65"/>
      <c r="I619" s="67"/>
      <c r="J619" s="157">
        <f>SUM(J617:J618)</f>
        <v>5025820.93</v>
      </c>
    </row>
    <row r="620" spans="1:10" s="4" customFormat="1" ht="33" x14ac:dyDescent="0.25">
      <c r="A620" s="734">
        <v>3</v>
      </c>
      <c r="B620" s="732" t="s">
        <v>169</v>
      </c>
      <c r="C620" s="70" t="s">
        <v>500</v>
      </c>
      <c r="D620" s="51">
        <v>4980837</v>
      </c>
      <c r="E620" s="70" t="s">
        <v>777</v>
      </c>
      <c r="F620" s="70" t="s">
        <v>776</v>
      </c>
      <c r="G620" s="148">
        <v>5288990.37</v>
      </c>
      <c r="H620" s="50">
        <v>42562</v>
      </c>
      <c r="I620" s="50">
        <v>42578</v>
      </c>
      <c r="J620" s="51">
        <v>4980837</v>
      </c>
    </row>
    <row r="621" spans="1:10" ht="39.75" customHeight="1" outlineLevel="1" x14ac:dyDescent="0.25">
      <c r="A621" s="731"/>
      <c r="B621" s="733"/>
      <c r="C621" s="116" t="s">
        <v>37</v>
      </c>
      <c r="D621" s="59">
        <v>97323.509000000005</v>
      </c>
      <c r="E621" s="60" t="s">
        <v>561</v>
      </c>
      <c r="F621" s="60" t="s">
        <v>548</v>
      </c>
      <c r="G621" s="61">
        <f>82477.55*1.18</f>
        <v>97323.509000000005</v>
      </c>
      <c r="H621" s="62">
        <v>42379</v>
      </c>
      <c r="I621" s="62">
        <v>42419</v>
      </c>
      <c r="J621" s="63">
        <v>97323.51</v>
      </c>
    </row>
    <row r="622" spans="1:10" ht="17.25" outlineLevel="1" thickBot="1" x14ac:dyDescent="0.3">
      <c r="A622" s="686" t="s">
        <v>628</v>
      </c>
      <c r="B622" s="687"/>
      <c r="C622" s="156"/>
      <c r="D622" s="157">
        <f>SUM(D620:D621)</f>
        <v>5078160.5089999996</v>
      </c>
      <c r="E622" s="65"/>
      <c r="F622" s="65"/>
      <c r="G622" s="158">
        <f>SUM(G620:G621)</f>
        <v>5386313.8789999997</v>
      </c>
      <c r="H622" s="65"/>
      <c r="I622" s="67"/>
      <c r="J622" s="157">
        <f>SUM(J620:J621)</f>
        <v>5078160.51</v>
      </c>
    </row>
    <row r="623" spans="1:10" s="22" customFormat="1" ht="33" x14ac:dyDescent="0.25">
      <c r="A623" s="734">
        <v>4</v>
      </c>
      <c r="B623" s="732" t="s">
        <v>158</v>
      </c>
      <c r="C623" s="580" t="s">
        <v>501</v>
      </c>
      <c r="D623" s="51">
        <v>21950000</v>
      </c>
      <c r="E623" s="580" t="s">
        <v>1047</v>
      </c>
      <c r="F623" s="580" t="s">
        <v>669</v>
      </c>
      <c r="G623" s="148">
        <v>20857079.07</v>
      </c>
      <c r="H623" s="581">
        <v>42783</v>
      </c>
      <c r="I623" s="581">
        <v>42860</v>
      </c>
      <c r="J623" s="51">
        <v>20851492.100000001</v>
      </c>
    </row>
    <row r="624" spans="1:10" ht="39" customHeight="1" outlineLevel="1" x14ac:dyDescent="0.25">
      <c r="A624" s="731"/>
      <c r="B624" s="733"/>
      <c r="C624" s="116" t="s">
        <v>37</v>
      </c>
      <c r="D624" s="59">
        <v>104671.80559999999</v>
      </c>
      <c r="E624" s="60" t="s">
        <v>562</v>
      </c>
      <c r="F624" s="60" t="s">
        <v>548</v>
      </c>
      <c r="G624" s="61">
        <f>88704.92*1.18</f>
        <v>104671.80559999999</v>
      </c>
      <c r="H624" s="62">
        <v>42379</v>
      </c>
      <c r="I624" s="62">
        <v>42349</v>
      </c>
      <c r="J624" s="63">
        <v>104671.81</v>
      </c>
    </row>
    <row r="625" spans="1:10" ht="17.25" outlineLevel="1" thickBot="1" x14ac:dyDescent="0.3">
      <c r="A625" s="686" t="s">
        <v>628</v>
      </c>
      <c r="B625" s="687"/>
      <c r="C625" s="156"/>
      <c r="D625" s="157">
        <f>SUM(D623:D624)</f>
        <v>22054671.805599999</v>
      </c>
      <c r="E625" s="88"/>
      <c r="F625" s="88"/>
      <c r="G625" s="158">
        <f>SUM(G623:G624)</f>
        <v>20961750.875599999</v>
      </c>
      <c r="H625" s="88"/>
      <c r="I625" s="130"/>
      <c r="J625" s="157">
        <f>SUM(J623:J624)</f>
        <v>20956163.91</v>
      </c>
    </row>
    <row r="626" spans="1:10" s="4" customFormat="1" ht="33" x14ac:dyDescent="0.25">
      <c r="A626" s="734">
        <v>5</v>
      </c>
      <c r="B626" s="732" t="s">
        <v>159</v>
      </c>
      <c r="C626" s="70" t="s">
        <v>34</v>
      </c>
      <c r="D626" s="51">
        <v>6203956.2000000002</v>
      </c>
      <c r="E626" s="70" t="s">
        <v>696</v>
      </c>
      <c r="F626" s="70" t="s">
        <v>697</v>
      </c>
      <c r="G626" s="148">
        <v>7345328.3499999996</v>
      </c>
      <c r="H626" s="50">
        <v>42540</v>
      </c>
      <c r="I626" s="50">
        <v>42468</v>
      </c>
      <c r="J626" s="51">
        <v>6203956.1999999993</v>
      </c>
    </row>
    <row r="627" spans="1:10" s="18" customFormat="1" ht="37.5" customHeight="1" x14ac:dyDescent="0.25">
      <c r="A627" s="730"/>
      <c r="B627" s="735"/>
      <c r="C627" s="116" t="s">
        <v>37</v>
      </c>
      <c r="D627" s="273">
        <v>98318.31</v>
      </c>
      <c r="E627" s="60" t="s">
        <v>562</v>
      </c>
      <c r="F627" s="60" t="s">
        <v>548</v>
      </c>
      <c r="G627" s="274">
        <f>83320.6*1.18</f>
        <v>98318.308000000005</v>
      </c>
      <c r="H627" s="62">
        <v>42379</v>
      </c>
      <c r="I627" s="62">
        <v>42349</v>
      </c>
      <c r="J627" s="273">
        <v>98318.31</v>
      </c>
    </row>
    <row r="628" spans="1:10" ht="33" outlineLevel="1" x14ac:dyDescent="0.25">
      <c r="A628" s="731"/>
      <c r="B628" s="733"/>
      <c r="C628" s="91" t="s">
        <v>500</v>
      </c>
      <c r="D628" s="52">
        <v>5366892.4800000004</v>
      </c>
      <c r="E628" s="105" t="s">
        <v>724</v>
      </c>
      <c r="F628" s="91" t="s">
        <v>695</v>
      </c>
      <c r="G628" s="149">
        <v>4981850</v>
      </c>
      <c r="H628" s="75">
        <v>42536</v>
      </c>
      <c r="I628" s="75">
        <v>42530</v>
      </c>
      <c r="J628" s="52">
        <v>5366892.4800000004</v>
      </c>
    </row>
    <row r="629" spans="1:10" ht="36" customHeight="1" outlineLevel="1" x14ac:dyDescent="0.25">
      <c r="A629" s="731"/>
      <c r="B629" s="733"/>
      <c r="C629" s="116" t="s">
        <v>37</v>
      </c>
      <c r="D629" s="59">
        <v>110291.43</v>
      </c>
      <c r="E629" s="60" t="s">
        <v>561</v>
      </c>
      <c r="F629" s="60" t="s">
        <v>548</v>
      </c>
      <c r="G629" s="61">
        <f>93467.31*1.18</f>
        <v>110291.4258</v>
      </c>
      <c r="H629" s="62">
        <v>42379</v>
      </c>
      <c r="I629" s="62">
        <v>42419</v>
      </c>
      <c r="J629" s="63">
        <v>110291.43</v>
      </c>
    </row>
    <row r="630" spans="1:10" ht="17.25" outlineLevel="1" thickBot="1" x14ac:dyDescent="0.3">
      <c r="A630" s="724" t="s">
        <v>628</v>
      </c>
      <c r="B630" s="725"/>
      <c r="C630" s="164"/>
      <c r="D630" s="165">
        <f>SUM(D626:D629)</f>
        <v>11779458.42</v>
      </c>
      <c r="E630" s="90"/>
      <c r="F630" s="90"/>
      <c r="G630" s="166">
        <f>SUM(G626:G629)</f>
        <v>12535788.083799999</v>
      </c>
      <c r="H630" s="90"/>
      <c r="I630" s="108"/>
      <c r="J630" s="165">
        <f>SUM(J626:J629)</f>
        <v>11779458.419999998</v>
      </c>
    </row>
    <row r="631" spans="1:10" s="4" customFormat="1" ht="33" x14ac:dyDescent="0.25">
      <c r="A631" s="734">
        <v>6</v>
      </c>
      <c r="B631" s="732" t="s">
        <v>160</v>
      </c>
      <c r="C631" s="70" t="s">
        <v>500</v>
      </c>
      <c r="D631" s="51">
        <v>5286802.4400000004</v>
      </c>
      <c r="E631" s="70" t="s">
        <v>699</v>
      </c>
      <c r="F631" s="70" t="s">
        <v>695</v>
      </c>
      <c r="G631" s="148">
        <v>5618606.5599999996</v>
      </c>
      <c r="H631" s="50">
        <v>42580</v>
      </c>
      <c r="I631" s="50">
        <v>42572</v>
      </c>
      <c r="J631" s="51">
        <v>5286802.4400000004</v>
      </c>
    </row>
    <row r="632" spans="1:10" ht="35.25" customHeight="1" outlineLevel="1" x14ac:dyDescent="0.25">
      <c r="A632" s="731"/>
      <c r="B632" s="733"/>
      <c r="C632" s="116" t="s">
        <v>37</v>
      </c>
      <c r="D632" s="59">
        <v>110289.50239999998</v>
      </c>
      <c r="E632" s="60" t="s">
        <v>562</v>
      </c>
      <c r="F632" s="60" t="s">
        <v>548</v>
      </c>
      <c r="G632" s="61">
        <f>93465.68*1.18</f>
        <v>110289.50239999998</v>
      </c>
      <c r="H632" s="62">
        <v>42379</v>
      </c>
      <c r="I632" s="62">
        <v>42349</v>
      </c>
      <c r="J632" s="63">
        <v>110289.5</v>
      </c>
    </row>
    <row r="633" spans="1:10" ht="17.25" outlineLevel="1" thickBot="1" x14ac:dyDescent="0.3">
      <c r="A633" s="686" t="s">
        <v>628</v>
      </c>
      <c r="B633" s="687"/>
      <c r="C633" s="156"/>
      <c r="D633" s="157">
        <f>SUM(D631:D632)</f>
        <v>5397091.9424000001</v>
      </c>
      <c r="E633" s="88"/>
      <c r="F633" s="88"/>
      <c r="G633" s="158">
        <f>SUM(G631:G632)</f>
        <v>5728896.0623999992</v>
      </c>
      <c r="H633" s="88"/>
      <c r="I633" s="130"/>
      <c r="J633" s="157">
        <f>SUM(J631:J632)</f>
        <v>5397091.9400000004</v>
      </c>
    </row>
    <row r="634" spans="1:10" s="4" customFormat="1" ht="33" x14ac:dyDescent="0.25">
      <c r="A634" s="734">
        <v>7</v>
      </c>
      <c r="B634" s="732" t="s">
        <v>161</v>
      </c>
      <c r="C634" s="70" t="s">
        <v>500</v>
      </c>
      <c r="D634" s="51">
        <v>5110773.3899999997</v>
      </c>
      <c r="E634" s="70" t="s">
        <v>699</v>
      </c>
      <c r="F634" s="70" t="s">
        <v>695</v>
      </c>
      <c r="G634" s="148">
        <v>5589192.4500000002</v>
      </c>
      <c r="H634" s="50">
        <v>42580</v>
      </c>
      <c r="I634" s="50">
        <v>42572</v>
      </c>
      <c r="J634" s="51">
        <v>5110773.3899999997</v>
      </c>
    </row>
    <row r="635" spans="1:10" ht="37.5" customHeight="1" outlineLevel="1" x14ac:dyDescent="0.25">
      <c r="A635" s="731"/>
      <c r="B635" s="733"/>
      <c r="C635" s="116" t="s">
        <v>37</v>
      </c>
      <c r="D635" s="59">
        <v>110289.50239999998</v>
      </c>
      <c r="E635" s="60" t="s">
        <v>562</v>
      </c>
      <c r="F635" s="60" t="s">
        <v>548</v>
      </c>
      <c r="G635" s="61">
        <f>93465.68*1.18</f>
        <v>110289.50239999998</v>
      </c>
      <c r="H635" s="62">
        <v>42379</v>
      </c>
      <c r="I635" s="62">
        <v>42349</v>
      </c>
      <c r="J635" s="63">
        <v>110289.5</v>
      </c>
    </row>
    <row r="636" spans="1:10" ht="17.25" outlineLevel="1" thickBot="1" x14ac:dyDescent="0.3">
      <c r="A636" s="686" t="s">
        <v>628</v>
      </c>
      <c r="B636" s="687"/>
      <c r="C636" s="156"/>
      <c r="D636" s="157">
        <f>SUM(D634:D635)</f>
        <v>5221062.8923999993</v>
      </c>
      <c r="E636" s="88"/>
      <c r="F636" s="88"/>
      <c r="G636" s="158">
        <f>SUM(G634:G635)</f>
        <v>5699481.9523999998</v>
      </c>
      <c r="H636" s="88"/>
      <c r="I636" s="130"/>
      <c r="J636" s="157">
        <f>SUM(J634:J635)</f>
        <v>5221062.8899999997</v>
      </c>
    </row>
    <row r="637" spans="1:10" s="4" customFormat="1" ht="33" x14ac:dyDescent="0.25">
      <c r="A637" s="734">
        <v>8</v>
      </c>
      <c r="B637" s="732" t="s">
        <v>162</v>
      </c>
      <c r="C637" s="70" t="s">
        <v>500</v>
      </c>
      <c r="D637" s="51">
        <v>3183108.15</v>
      </c>
      <c r="E637" s="563" t="s">
        <v>694</v>
      </c>
      <c r="F637" s="563" t="s">
        <v>695</v>
      </c>
      <c r="G637" s="148">
        <v>3501922.16</v>
      </c>
      <c r="H637" s="559">
        <v>42580</v>
      </c>
      <c r="I637" s="50">
        <v>42531</v>
      </c>
      <c r="J637" s="51">
        <v>3183108.1500000004</v>
      </c>
    </row>
    <row r="638" spans="1:10" ht="33" outlineLevel="1" x14ac:dyDescent="0.25">
      <c r="A638" s="731"/>
      <c r="B638" s="733"/>
      <c r="C638" s="560" t="s">
        <v>501</v>
      </c>
      <c r="D638" s="562">
        <v>13890000</v>
      </c>
      <c r="E638" s="558" t="s">
        <v>1047</v>
      </c>
      <c r="F638" s="558" t="s">
        <v>669</v>
      </c>
      <c r="G638" s="226">
        <v>12833534.949999999</v>
      </c>
      <c r="H638" s="557">
        <v>42758</v>
      </c>
      <c r="I638" s="564">
        <v>42842</v>
      </c>
      <c r="J638" s="562">
        <v>12329742.119999999</v>
      </c>
    </row>
    <row r="639" spans="1:10" ht="33" outlineLevel="1" x14ac:dyDescent="0.25">
      <c r="A639" s="731"/>
      <c r="B639" s="733"/>
      <c r="C639" s="116" t="s">
        <v>37</v>
      </c>
      <c r="D639" s="59">
        <v>179792.95999999996</v>
      </c>
      <c r="E639" s="60" t="s">
        <v>562</v>
      </c>
      <c r="F639" s="60" t="s">
        <v>548</v>
      </c>
      <c r="G639" s="61">
        <f>152366.92*1.18</f>
        <v>179792.9656</v>
      </c>
      <c r="H639" s="62">
        <v>42379</v>
      </c>
      <c r="I639" s="62">
        <v>42349</v>
      </c>
      <c r="J639" s="63">
        <v>179792.95999999996</v>
      </c>
    </row>
    <row r="640" spans="1:10" ht="17.25" outlineLevel="1" thickBot="1" x14ac:dyDescent="0.3">
      <c r="A640" s="686" t="s">
        <v>628</v>
      </c>
      <c r="B640" s="687"/>
      <c r="C640" s="156"/>
      <c r="D640" s="165">
        <f>SUM(D637:D639)</f>
        <v>17252901.109999999</v>
      </c>
      <c r="E640" s="88"/>
      <c r="F640" s="88"/>
      <c r="G640" s="166">
        <f>SUM(G637:G639)</f>
        <v>16515250.0756</v>
      </c>
      <c r="H640" s="88"/>
      <c r="I640" s="130"/>
      <c r="J640" s="165">
        <f>SUM(J637:J639)</f>
        <v>15692643.23</v>
      </c>
    </row>
    <row r="641" spans="1:10" s="4" customFormat="1" ht="33" x14ac:dyDescent="0.25">
      <c r="A641" s="734">
        <v>9</v>
      </c>
      <c r="B641" s="732" t="s">
        <v>172</v>
      </c>
      <c r="C641" s="70" t="s">
        <v>500</v>
      </c>
      <c r="D641" s="51">
        <v>4955560</v>
      </c>
      <c r="E641" s="70" t="s">
        <v>775</v>
      </c>
      <c r="F641" s="70" t="s">
        <v>776</v>
      </c>
      <c r="G641" s="148">
        <v>5238079.6500000004</v>
      </c>
      <c r="H641" s="50">
        <v>42562</v>
      </c>
      <c r="I641" s="50">
        <v>42578</v>
      </c>
      <c r="J641" s="51">
        <v>4955560</v>
      </c>
    </row>
    <row r="642" spans="1:10" ht="39" customHeight="1" outlineLevel="1" x14ac:dyDescent="0.25">
      <c r="A642" s="731"/>
      <c r="B642" s="733"/>
      <c r="C642" s="116" t="s">
        <v>37</v>
      </c>
      <c r="D642" s="59">
        <v>97513.677800000005</v>
      </c>
      <c r="E642" s="60" t="s">
        <v>561</v>
      </c>
      <c r="F642" s="60" t="s">
        <v>548</v>
      </c>
      <c r="G642" s="61">
        <f>82638.71*1.18</f>
        <v>97513.677800000005</v>
      </c>
      <c r="H642" s="62">
        <v>42379</v>
      </c>
      <c r="I642" s="62">
        <v>42419</v>
      </c>
      <c r="J642" s="63">
        <v>97513.68</v>
      </c>
    </row>
    <row r="643" spans="1:10" ht="17.25" outlineLevel="1" thickBot="1" x14ac:dyDescent="0.3">
      <c r="A643" s="724" t="s">
        <v>628</v>
      </c>
      <c r="B643" s="725"/>
      <c r="C643" s="164"/>
      <c r="D643" s="157">
        <f>SUM(D641:D642)</f>
        <v>5053073.6777999997</v>
      </c>
      <c r="E643" s="90"/>
      <c r="F643" s="90"/>
      <c r="G643" s="158">
        <f>SUM(G641:G642)</f>
        <v>5335593.3278000001</v>
      </c>
      <c r="H643" s="90"/>
      <c r="I643" s="108"/>
      <c r="J643" s="157">
        <f>SUM(J641:J642)</f>
        <v>5053073.68</v>
      </c>
    </row>
    <row r="644" spans="1:10" s="4" customFormat="1" ht="16.5" x14ac:dyDescent="0.25">
      <c r="A644" s="734">
        <v>10</v>
      </c>
      <c r="B644" s="732" t="s">
        <v>170</v>
      </c>
      <c r="C644" s="275" t="s">
        <v>500</v>
      </c>
      <c r="D644" s="276"/>
      <c r="E644" s="277"/>
      <c r="F644" s="277"/>
      <c r="G644" s="278"/>
      <c r="H644" s="277"/>
      <c r="I644" s="279"/>
      <c r="J644" s="280"/>
    </row>
    <row r="645" spans="1:10" s="19" customFormat="1" ht="33" x14ac:dyDescent="0.25">
      <c r="A645" s="730"/>
      <c r="B645" s="735"/>
      <c r="C645" s="105" t="s">
        <v>508</v>
      </c>
      <c r="D645" s="107">
        <v>6725000</v>
      </c>
      <c r="E645" s="105" t="s">
        <v>920</v>
      </c>
      <c r="F645" s="105" t="s">
        <v>776</v>
      </c>
      <c r="G645" s="226">
        <v>5724253.1600000001</v>
      </c>
      <c r="H645" s="76">
        <v>42679</v>
      </c>
      <c r="I645" s="76">
        <v>42696</v>
      </c>
      <c r="J645" s="107">
        <v>5259316</v>
      </c>
    </row>
    <row r="646" spans="1:10" ht="37.5" customHeight="1" outlineLevel="1" x14ac:dyDescent="0.25">
      <c r="A646" s="731"/>
      <c r="B646" s="733"/>
      <c r="C646" s="116" t="s">
        <v>37</v>
      </c>
      <c r="D646" s="59">
        <v>97418.593399999998</v>
      </c>
      <c r="E646" s="60" t="s">
        <v>561</v>
      </c>
      <c r="F646" s="60" t="s">
        <v>548</v>
      </c>
      <c r="G646" s="61">
        <f>82558.13*1.18</f>
        <v>97418.593399999998</v>
      </c>
      <c r="H646" s="62">
        <v>42379</v>
      </c>
      <c r="I646" s="62">
        <v>42419</v>
      </c>
      <c r="J646" s="63">
        <v>97418.59</v>
      </c>
    </row>
    <row r="647" spans="1:10" ht="17.25" outlineLevel="1" thickBot="1" x14ac:dyDescent="0.3">
      <c r="A647" s="686" t="s">
        <v>628</v>
      </c>
      <c r="B647" s="687"/>
      <c r="C647" s="156"/>
      <c r="D647" s="157">
        <f>SUM(D644:D646)</f>
        <v>6822418.5933999997</v>
      </c>
      <c r="E647" s="88"/>
      <c r="F647" s="88"/>
      <c r="G647" s="158">
        <f>SUM(G644:G646)</f>
        <v>5821671.7533999998</v>
      </c>
      <c r="H647" s="88"/>
      <c r="I647" s="130"/>
      <c r="J647" s="157">
        <f>SUM(J644:J646)</f>
        <v>5356734.59</v>
      </c>
    </row>
    <row r="648" spans="1:10" s="4" customFormat="1" ht="33" x14ac:dyDescent="0.25">
      <c r="A648" s="734">
        <v>11</v>
      </c>
      <c r="B648" s="732" t="s">
        <v>163</v>
      </c>
      <c r="C648" s="529" t="s">
        <v>501</v>
      </c>
      <c r="D648" s="51">
        <v>14066000</v>
      </c>
      <c r="E648" s="529" t="s">
        <v>1047</v>
      </c>
      <c r="F648" s="529" t="s">
        <v>669</v>
      </c>
      <c r="G648" s="148">
        <v>12009385.98</v>
      </c>
      <c r="H648" s="535">
        <v>42783</v>
      </c>
      <c r="I648" s="535">
        <v>42803</v>
      </c>
      <c r="J648" s="51">
        <v>10755728.32</v>
      </c>
    </row>
    <row r="649" spans="1:10" ht="36" customHeight="1" outlineLevel="1" x14ac:dyDescent="0.25">
      <c r="A649" s="731"/>
      <c r="B649" s="733"/>
      <c r="C649" s="116" t="s">
        <v>37</v>
      </c>
      <c r="D649" s="59">
        <v>88767.293600000005</v>
      </c>
      <c r="E649" s="60" t="s">
        <v>562</v>
      </c>
      <c r="F649" s="60" t="s">
        <v>548</v>
      </c>
      <c r="G649" s="61">
        <f>75226.52*1.18</f>
        <v>88767.293600000005</v>
      </c>
      <c r="H649" s="62">
        <v>42379</v>
      </c>
      <c r="I649" s="62">
        <v>42349</v>
      </c>
      <c r="J649" s="63">
        <v>88767.29</v>
      </c>
    </row>
    <row r="650" spans="1:10" ht="17.25" outlineLevel="1" thickBot="1" x14ac:dyDescent="0.3">
      <c r="A650" s="686" t="s">
        <v>628</v>
      </c>
      <c r="B650" s="687"/>
      <c r="C650" s="156"/>
      <c r="D650" s="157">
        <f>SUM(D648:D649)</f>
        <v>14154767.2936</v>
      </c>
      <c r="E650" s="88"/>
      <c r="F650" s="88"/>
      <c r="G650" s="158">
        <f>SUM(G648:G649)</f>
        <v>12098153.273600001</v>
      </c>
      <c r="H650" s="88"/>
      <c r="I650" s="130"/>
      <c r="J650" s="157">
        <f>SUM(J648:J649)</f>
        <v>10844495.609999999</v>
      </c>
    </row>
    <row r="651" spans="1:10" s="4" customFormat="1" ht="33" x14ac:dyDescent="0.25">
      <c r="A651" s="734">
        <v>12</v>
      </c>
      <c r="B651" s="732" t="s">
        <v>164</v>
      </c>
      <c r="C651" s="159" t="s">
        <v>501</v>
      </c>
      <c r="D651" s="160">
        <v>29380000</v>
      </c>
      <c r="E651" s="81" t="s">
        <v>1141</v>
      </c>
      <c r="F651" s="81" t="s">
        <v>800</v>
      </c>
      <c r="G651" s="209">
        <v>28383032.059999999</v>
      </c>
      <c r="H651" s="83">
        <v>42794</v>
      </c>
      <c r="I651" s="163"/>
      <c r="J651" s="82"/>
    </row>
    <row r="652" spans="1:10" ht="37.5" customHeight="1" outlineLevel="1" x14ac:dyDescent="0.25">
      <c r="A652" s="731"/>
      <c r="B652" s="733"/>
      <c r="C652" s="116" t="s">
        <v>37</v>
      </c>
      <c r="D652" s="59">
        <v>99692.984400000001</v>
      </c>
      <c r="E652" s="60" t="s">
        <v>562</v>
      </c>
      <c r="F652" s="60" t="s">
        <v>548</v>
      </c>
      <c r="G652" s="61">
        <f>84485.58*1.18</f>
        <v>99692.984400000001</v>
      </c>
      <c r="H652" s="62">
        <v>42379</v>
      </c>
      <c r="I652" s="62">
        <v>42349</v>
      </c>
      <c r="J652" s="63">
        <v>99692.98</v>
      </c>
    </row>
    <row r="653" spans="1:10" ht="17.25" outlineLevel="1" thickBot="1" x14ac:dyDescent="0.3">
      <c r="A653" s="724" t="s">
        <v>628</v>
      </c>
      <c r="B653" s="725"/>
      <c r="C653" s="164"/>
      <c r="D653" s="165">
        <f>SUM(D651:D652)</f>
        <v>29479692.9844</v>
      </c>
      <c r="E653" s="90"/>
      <c r="F653" s="90"/>
      <c r="G653" s="166">
        <f>SUM(G651:G652)</f>
        <v>28482725.044399999</v>
      </c>
      <c r="H653" s="90"/>
      <c r="I653" s="108"/>
      <c r="J653" s="165">
        <f>SUM(J651:J652)</f>
        <v>99692.98</v>
      </c>
    </row>
    <row r="654" spans="1:10" ht="33" outlineLevel="1" x14ac:dyDescent="0.25">
      <c r="A654" s="175">
        <v>13</v>
      </c>
      <c r="B654" s="176" t="s">
        <v>1005</v>
      </c>
      <c r="C654" s="70" t="s">
        <v>501</v>
      </c>
      <c r="D654" s="51">
        <v>542384.26</v>
      </c>
      <c r="E654" s="70" t="s">
        <v>1034</v>
      </c>
      <c r="F654" s="70" t="s">
        <v>1033</v>
      </c>
      <c r="G654" s="51">
        <v>735262</v>
      </c>
      <c r="H654" s="50">
        <v>42643</v>
      </c>
      <c r="I654" s="50">
        <v>42647</v>
      </c>
      <c r="J654" s="51">
        <v>542384.26</v>
      </c>
    </row>
    <row r="655" spans="1:10" ht="17.25" outlineLevel="1" thickBot="1" x14ac:dyDescent="0.3">
      <c r="A655" s="686" t="s">
        <v>628</v>
      </c>
      <c r="B655" s="687"/>
      <c r="C655" s="156"/>
      <c r="D655" s="157">
        <f>SUM(D654:D654)</f>
        <v>542384.26</v>
      </c>
      <c r="E655" s="88"/>
      <c r="F655" s="88"/>
      <c r="G655" s="157">
        <f>G654</f>
        <v>735262</v>
      </c>
      <c r="H655" s="88"/>
      <c r="I655" s="130"/>
      <c r="J655" s="165">
        <f>SUM(J654:J654)</f>
        <v>542384.26</v>
      </c>
    </row>
    <row r="656" spans="1:10" s="4" customFormat="1" ht="33" x14ac:dyDescent="0.25">
      <c r="A656" s="730">
        <v>14</v>
      </c>
      <c r="B656" s="735" t="s">
        <v>171</v>
      </c>
      <c r="C656" s="105" t="s">
        <v>500</v>
      </c>
      <c r="D656" s="107">
        <v>3265832.46</v>
      </c>
      <c r="E656" s="105" t="s">
        <v>786</v>
      </c>
      <c r="F656" s="105" t="s">
        <v>787</v>
      </c>
      <c r="G656" s="226">
        <v>3325110</v>
      </c>
      <c r="H656" s="76">
        <v>42530</v>
      </c>
      <c r="I656" s="76">
        <v>42530</v>
      </c>
      <c r="J656" s="51">
        <v>3265832.46</v>
      </c>
    </row>
    <row r="657" spans="1:10" ht="35.25" customHeight="1" outlineLevel="1" x14ac:dyDescent="0.25">
      <c r="A657" s="731"/>
      <c r="B657" s="733"/>
      <c r="C657" s="116" t="s">
        <v>37</v>
      </c>
      <c r="D657" s="59">
        <v>97418.593399999998</v>
      </c>
      <c r="E657" s="60" t="s">
        <v>561</v>
      </c>
      <c r="F657" s="60" t="s">
        <v>548</v>
      </c>
      <c r="G657" s="61">
        <f>82558.13*1.18</f>
        <v>97418.593399999998</v>
      </c>
      <c r="H657" s="62">
        <v>42379</v>
      </c>
      <c r="I657" s="62">
        <v>42419</v>
      </c>
      <c r="J657" s="63">
        <v>97418.59</v>
      </c>
    </row>
    <row r="658" spans="1:10" ht="17.25" outlineLevel="1" thickBot="1" x14ac:dyDescent="0.3">
      <c r="A658" s="724" t="s">
        <v>628</v>
      </c>
      <c r="B658" s="725"/>
      <c r="C658" s="164"/>
      <c r="D658" s="165">
        <f>SUM(D656:D657)</f>
        <v>3363251.0534000001</v>
      </c>
      <c r="E658" s="90"/>
      <c r="F658" s="90"/>
      <c r="G658" s="166">
        <f>SUM(G656:G657)</f>
        <v>3422528.5934000001</v>
      </c>
      <c r="H658" s="90"/>
      <c r="I658" s="108"/>
      <c r="J658" s="165">
        <f>SUM(J656:J657)</f>
        <v>3363251.05</v>
      </c>
    </row>
    <row r="659" spans="1:10" s="4" customFormat="1" ht="32.25" customHeight="1" x14ac:dyDescent="0.25">
      <c r="A659" s="734">
        <v>15</v>
      </c>
      <c r="B659" s="732" t="s">
        <v>165</v>
      </c>
      <c r="C659" s="70" t="s">
        <v>500</v>
      </c>
      <c r="D659" s="51">
        <v>7125668.0499999998</v>
      </c>
      <c r="E659" s="70" t="s">
        <v>694</v>
      </c>
      <c r="F659" s="70" t="s">
        <v>695</v>
      </c>
      <c r="G659" s="148">
        <v>7322095.8399999999</v>
      </c>
      <c r="H659" s="50">
        <v>42580</v>
      </c>
      <c r="I659" s="50">
        <v>42531</v>
      </c>
      <c r="J659" s="51">
        <v>7125668.0500000007</v>
      </c>
    </row>
    <row r="660" spans="1:10" ht="39" customHeight="1" outlineLevel="1" x14ac:dyDescent="0.25">
      <c r="A660" s="731"/>
      <c r="B660" s="733"/>
      <c r="C660" s="116" t="s">
        <v>37</v>
      </c>
      <c r="D660" s="59">
        <v>97995.141399999993</v>
      </c>
      <c r="E660" s="60" t="s">
        <v>562</v>
      </c>
      <c r="F660" s="60" t="s">
        <v>548</v>
      </c>
      <c r="G660" s="61">
        <f>83046.73*1.18</f>
        <v>97995.141399999993</v>
      </c>
      <c r="H660" s="62">
        <v>42379</v>
      </c>
      <c r="I660" s="62">
        <v>42349</v>
      </c>
      <c r="J660" s="63">
        <v>97995.14</v>
      </c>
    </row>
    <row r="661" spans="1:10" ht="17.25" outlineLevel="1" thickBot="1" x14ac:dyDescent="0.3">
      <c r="A661" s="686" t="s">
        <v>628</v>
      </c>
      <c r="B661" s="687"/>
      <c r="C661" s="156"/>
      <c r="D661" s="157">
        <f>SUM(D659:D660)</f>
        <v>7223663.1913999999</v>
      </c>
      <c r="E661" s="65"/>
      <c r="F661" s="65"/>
      <c r="G661" s="158">
        <f>SUM(G659:G660)</f>
        <v>7420090.9813999999</v>
      </c>
      <c r="H661" s="65"/>
      <c r="I661" s="67"/>
      <c r="J661" s="157">
        <f>SUM(J659:J660)</f>
        <v>7223663.1900000004</v>
      </c>
    </row>
    <row r="662" spans="1:10" s="4" customFormat="1" ht="33" x14ac:dyDescent="0.25">
      <c r="A662" s="734">
        <v>16</v>
      </c>
      <c r="B662" s="732" t="s">
        <v>166</v>
      </c>
      <c r="C662" s="159" t="s">
        <v>501</v>
      </c>
      <c r="D662" s="160">
        <v>18134000</v>
      </c>
      <c r="E662" s="81" t="s">
        <v>1141</v>
      </c>
      <c r="F662" s="81" t="s">
        <v>800</v>
      </c>
      <c r="G662" s="209">
        <v>16138671.199999999</v>
      </c>
      <c r="H662" s="83">
        <v>42794</v>
      </c>
      <c r="I662" s="163"/>
      <c r="J662" s="82"/>
    </row>
    <row r="663" spans="1:10" ht="33.75" customHeight="1" outlineLevel="1" x14ac:dyDescent="0.25">
      <c r="A663" s="731"/>
      <c r="B663" s="733"/>
      <c r="C663" s="116" t="s">
        <v>37</v>
      </c>
      <c r="D663" s="59">
        <v>104944.97559999999</v>
      </c>
      <c r="E663" s="60" t="s">
        <v>562</v>
      </c>
      <c r="F663" s="60" t="s">
        <v>548</v>
      </c>
      <c r="G663" s="61">
        <f>88936.42*1.18</f>
        <v>104944.97559999999</v>
      </c>
      <c r="H663" s="62">
        <v>42379</v>
      </c>
      <c r="I663" s="62">
        <v>42349</v>
      </c>
      <c r="J663" s="63">
        <v>104944.98</v>
      </c>
    </row>
    <row r="664" spans="1:10" ht="17.25" outlineLevel="1" thickBot="1" x14ac:dyDescent="0.3">
      <c r="A664" s="686" t="s">
        <v>628</v>
      </c>
      <c r="B664" s="687"/>
      <c r="C664" s="156"/>
      <c r="D664" s="157">
        <f>SUM(D662:D663)</f>
        <v>18238944.9756</v>
      </c>
      <c r="E664" s="88"/>
      <c r="F664" s="88"/>
      <c r="G664" s="158">
        <f>SUM(G662:G663)</f>
        <v>16243616.1756</v>
      </c>
      <c r="H664" s="88"/>
      <c r="I664" s="130"/>
      <c r="J664" s="157">
        <f>SUM(J662:J663)</f>
        <v>104944.98</v>
      </c>
    </row>
    <row r="665" spans="1:10" s="22" customFormat="1" ht="33" x14ac:dyDescent="0.25">
      <c r="A665" s="734">
        <v>17</v>
      </c>
      <c r="B665" s="732" t="s">
        <v>19</v>
      </c>
      <c r="C665" s="664" t="s">
        <v>501</v>
      </c>
      <c r="D665" s="51">
        <v>12185000</v>
      </c>
      <c r="E665" s="664" t="s">
        <v>1141</v>
      </c>
      <c r="F665" s="664" t="s">
        <v>800</v>
      </c>
      <c r="G665" s="148">
        <v>11086533.060000001</v>
      </c>
      <c r="H665" s="663">
        <v>42794</v>
      </c>
      <c r="I665" s="663">
        <v>42905</v>
      </c>
      <c r="J665" s="51">
        <v>11582365.52</v>
      </c>
    </row>
    <row r="666" spans="1:10" ht="39" customHeight="1" outlineLevel="1" x14ac:dyDescent="0.25">
      <c r="A666" s="731"/>
      <c r="B666" s="733"/>
      <c r="C666" s="116" t="s">
        <v>37</v>
      </c>
      <c r="D666" s="59">
        <v>102256.78219999999</v>
      </c>
      <c r="E666" s="60" t="s">
        <v>562</v>
      </c>
      <c r="F666" s="60" t="s">
        <v>548</v>
      </c>
      <c r="G666" s="61">
        <f>86658.29*1.18</f>
        <v>102256.78219999999</v>
      </c>
      <c r="H666" s="62">
        <v>42379</v>
      </c>
      <c r="I666" s="62">
        <v>42349</v>
      </c>
      <c r="J666" s="63">
        <v>102256.78</v>
      </c>
    </row>
    <row r="667" spans="1:10" ht="17.25" outlineLevel="1" thickBot="1" x14ac:dyDescent="0.3">
      <c r="A667" s="686" t="s">
        <v>628</v>
      </c>
      <c r="B667" s="687"/>
      <c r="C667" s="156"/>
      <c r="D667" s="157">
        <f>SUM(D665:D666)</f>
        <v>12287256.782199999</v>
      </c>
      <c r="E667" s="88"/>
      <c r="F667" s="88"/>
      <c r="G667" s="158">
        <f>SUM(G665:G666)</f>
        <v>11188789.8422</v>
      </c>
      <c r="H667" s="88"/>
      <c r="I667" s="130"/>
      <c r="J667" s="157">
        <f>SUM(J665:J666)</f>
        <v>11684622.299999999</v>
      </c>
    </row>
    <row r="668" spans="1:10" s="4" customFormat="1" ht="33" x14ac:dyDescent="0.25">
      <c r="A668" s="734">
        <v>18</v>
      </c>
      <c r="B668" s="732" t="s">
        <v>167</v>
      </c>
      <c r="C668" s="70" t="s">
        <v>34</v>
      </c>
      <c r="D668" s="51">
        <v>4965618.49</v>
      </c>
      <c r="E668" s="70" t="s">
        <v>696</v>
      </c>
      <c r="F668" s="70" t="s">
        <v>697</v>
      </c>
      <c r="G668" s="281">
        <v>5954671.6500000004</v>
      </c>
      <c r="H668" s="50">
        <v>42540</v>
      </c>
      <c r="I668" s="50">
        <v>42513</v>
      </c>
      <c r="J668" s="51">
        <v>4965618.49</v>
      </c>
    </row>
    <row r="669" spans="1:10" ht="39" customHeight="1" outlineLevel="1" x14ac:dyDescent="0.25">
      <c r="A669" s="731"/>
      <c r="B669" s="733"/>
      <c r="C669" s="116" t="s">
        <v>37</v>
      </c>
      <c r="D669" s="59">
        <v>86194.728400000007</v>
      </c>
      <c r="E669" s="60" t="s">
        <v>562</v>
      </c>
      <c r="F669" s="60" t="s">
        <v>548</v>
      </c>
      <c r="G669" s="61">
        <f>73046.38*1.18</f>
        <v>86194.728400000007</v>
      </c>
      <c r="H669" s="62">
        <v>42379</v>
      </c>
      <c r="I669" s="62">
        <v>42349</v>
      </c>
      <c r="J669" s="63">
        <v>86194.73000000001</v>
      </c>
    </row>
    <row r="670" spans="1:10" ht="17.25" outlineLevel="1" thickBot="1" x14ac:dyDescent="0.3">
      <c r="A670" s="686" t="s">
        <v>628</v>
      </c>
      <c r="B670" s="687"/>
      <c r="C670" s="156"/>
      <c r="D670" s="157">
        <f>SUM(D668:D669)</f>
        <v>5051813.2184000006</v>
      </c>
      <c r="E670" s="88"/>
      <c r="F670" s="88"/>
      <c r="G670" s="158">
        <f>SUM(G668:G669)</f>
        <v>6040866.3784000007</v>
      </c>
      <c r="H670" s="88"/>
      <c r="I670" s="130"/>
      <c r="J670" s="157">
        <f>SUM(J668:J669)</f>
        <v>5051813.2200000007</v>
      </c>
    </row>
    <row r="671" spans="1:10" s="7" customFormat="1" ht="19.5" customHeight="1" outlineLevel="1" x14ac:dyDescent="0.25">
      <c r="A671" s="814" t="s">
        <v>1008</v>
      </c>
      <c r="B671" s="815"/>
      <c r="C671" s="844"/>
      <c r="D671" s="132">
        <v>2970000</v>
      </c>
      <c r="E671" s="133"/>
      <c r="F671" s="134"/>
      <c r="G671" s="135">
        <f>SUM(G672:G677)</f>
        <v>1648420.58</v>
      </c>
      <c r="H671" s="136"/>
      <c r="I671" s="137"/>
      <c r="J671" s="135">
        <f>SUM(J672:J677)</f>
        <v>1329330.07</v>
      </c>
    </row>
    <row r="672" spans="1:10" s="7" customFormat="1" ht="28.5" customHeight="1" outlineLevel="1" x14ac:dyDescent="0.25">
      <c r="A672" s="139"/>
      <c r="B672" s="247" t="s">
        <v>1088</v>
      </c>
      <c r="C672" s="613" t="s">
        <v>37</v>
      </c>
      <c r="D672" s="73"/>
      <c r="E672" s="707" t="s">
        <v>1098</v>
      </c>
      <c r="F672" s="694" t="s">
        <v>933</v>
      </c>
      <c r="G672" s="73">
        <v>254833.28</v>
      </c>
      <c r="H672" s="713">
        <v>42767</v>
      </c>
      <c r="I672" s="713">
        <v>42825</v>
      </c>
      <c r="J672" s="73">
        <v>215960.4</v>
      </c>
    </row>
    <row r="673" spans="1:10" s="7" customFormat="1" ht="33" customHeight="1" outlineLevel="1" x14ac:dyDescent="0.25">
      <c r="A673" s="139"/>
      <c r="B673" s="282" t="s">
        <v>1089</v>
      </c>
      <c r="C673" s="613" t="s">
        <v>37</v>
      </c>
      <c r="D673" s="73"/>
      <c r="E673" s="708"/>
      <c r="F673" s="710"/>
      <c r="G673" s="73">
        <v>254833.28</v>
      </c>
      <c r="H673" s="676"/>
      <c r="I673" s="678"/>
      <c r="J673" s="73">
        <v>215960.4</v>
      </c>
    </row>
    <row r="674" spans="1:10" s="7" customFormat="1" ht="33" customHeight="1" outlineLevel="1" x14ac:dyDescent="0.25">
      <c r="A674" s="139"/>
      <c r="B674" s="282" t="s">
        <v>163</v>
      </c>
      <c r="C674" s="613" t="s">
        <v>37</v>
      </c>
      <c r="D674" s="73"/>
      <c r="E674" s="708"/>
      <c r="F674" s="710"/>
      <c r="G674" s="73">
        <v>97255.18</v>
      </c>
      <c r="H674" s="676"/>
      <c r="I674" s="678"/>
      <c r="J674" s="73">
        <v>82419.64</v>
      </c>
    </row>
    <row r="675" spans="1:10" s="7" customFormat="1" ht="33" outlineLevel="1" x14ac:dyDescent="0.25">
      <c r="A675" s="139"/>
      <c r="B675" s="282" t="s">
        <v>1090</v>
      </c>
      <c r="C675" s="613" t="s">
        <v>37</v>
      </c>
      <c r="D675" s="73"/>
      <c r="E675" s="708"/>
      <c r="F675" s="710"/>
      <c r="G675" s="73">
        <v>365229</v>
      </c>
      <c r="H675" s="676"/>
      <c r="I675" s="678"/>
      <c r="J675" s="73">
        <v>309516.11</v>
      </c>
    </row>
    <row r="676" spans="1:10" s="7" customFormat="1" ht="16.5" outlineLevel="1" x14ac:dyDescent="0.25">
      <c r="A676" s="139"/>
      <c r="B676" s="282" t="s">
        <v>1091</v>
      </c>
      <c r="C676" s="613" t="s">
        <v>37</v>
      </c>
      <c r="D676" s="73"/>
      <c r="E676" s="708"/>
      <c r="F676" s="710"/>
      <c r="G676" s="73">
        <v>388003.21</v>
      </c>
      <c r="H676" s="676"/>
      <c r="I676" s="678"/>
      <c r="J676" s="73">
        <v>261179.77</v>
      </c>
    </row>
    <row r="677" spans="1:10" s="7" customFormat="1" ht="17.25" outlineLevel="1" thickBot="1" x14ac:dyDescent="0.3">
      <c r="A677" s="283"/>
      <c r="B677" s="282" t="s">
        <v>1092</v>
      </c>
      <c r="C677" s="613" t="s">
        <v>37</v>
      </c>
      <c r="D677" s="127"/>
      <c r="E677" s="874"/>
      <c r="F677" s="875"/>
      <c r="G677" s="93">
        <v>288266.63</v>
      </c>
      <c r="H677" s="869"/>
      <c r="I677" s="680"/>
      <c r="J677" s="127">
        <v>244293.75</v>
      </c>
    </row>
    <row r="678" spans="1:10" ht="17.25" outlineLevel="1" thickBot="1" x14ac:dyDescent="0.3">
      <c r="A678" s="738" t="s">
        <v>629</v>
      </c>
      <c r="B678" s="739"/>
      <c r="C678" s="44"/>
      <c r="D678" s="43">
        <f>SUM(,D670,D667,D664,D661,D658,D653,D650,D647,D643,D640,D636,D633,D630,D625,D622,D619,D616,D655,D671)</f>
        <v>187896064.72379997</v>
      </c>
      <c r="E678" s="44"/>
      <c r="F678" s="44"/>
      <c r="G678" s="192">
        <f>SUM(G670,G667,G664,G661,G658,G653,G650,G647,G643,G640,G636,G633,G630,G625,G622,G619,G616,G655,G671)</f>
        <v>182959919.98319998</v>
      </c>
      <c r="H678" s="44"/>
      <c r="I678" s="205"/>
      <c r="J678" s="43">
        <f>SUM(J671,J670,J667,J664,J661,J658,J653,J650,J647,J643,J640,J636,J633,J630,J625,J622,J619,J616,J655)</f>
        <v>130704038.85000001</v>
      </c>
    </row>
    <row r="679" spans="1:10" s="4" customFormat="1" ht="23.25" customHeight="1" thickBot="1" x14ac:dyDescent="0.3">
      <c r="A679" s="759" t="s">
        <v>638</v>
      </c>
      <c r="B679" s="760"/>
      <c r="C679" s="760"/>
      <c r="D679" s="760"/>
      <c r="E679" s="760"/>
      <c r="F679" s="760"/>
      <c r="G679" s="760"/>
      <c r="H679" s="760"/>
      <c r="I679" s="760"/>
      <c r="J679" s="760"/>
    </row>
    <row r="680" spans="1:10" s="4" customFormat="1" ht="33" x14ac:dyDescent="0.25">
      <c r="A680" s="175">
        <v>1</v>
      </c>
      <c r="B680" s="176" t="s">
        <v>173</v>
      </c>
      <c r="C680" s="70" t="s">
        <v>34</v>
      </c>
      <c r="D680" s="51">
        <v>2161743.14</v>
      </c>
      <c r="E680" s="70" t="s">
        <v>782</v>
      </c>
      <c r="F680" s="70" t="s">
        <v>783</v>
      </c>
      <c r="G680" s="148">
        <v>2161743.14</v>
      </c>
      <c r="H680" s="50">
        <v>42510</v>
      </c>
      <c r="I680" s="50">
        <v>42719</v>
      </c>
      <c r="J680" s="51">
        <v>2029861.92</v>
      </c>
    </row>
    <row r="681" spans="1:10" ht="17.25" outlineLevel="1" thickBot="1" x14ac:dyDescent="0.3">
      <c r="A681" s="686" t="s">
        <v>628</v>
      </c>
      <c r="B681" s="687"/>
      <c r="C681" s="156"/>
      <c r="D681" s="157">
        <f>SUM(D680:D680)</f>
        <v>2161743.14</v>
      </c>
      <c r="E681" s="88"/>
      <c r="F681" s="88"/>
      <c r="G681" s="158">
        <f>SUM(G680:G680)</f>
        <v>2161743.14</v>
      </c>
      <c r="H681" s="88"/>
      <c r="I681" s="130"/>
      <c r="J681" s="157">
        <f>SUM(J680:J680)</f>
        <v>2029861.92</v>
      </c>
    </row>
    <row r="682" spans="1:10" s="4" customFormat="1" ht="45" customHeight="1" x14ac:dyDescent="0.25">
      <c r="A682" s="175">
        <v>2</v>
      </c>
      <c r="B682" s="176" t="s">
        <v>174</v>
      </c>
      <c r="C682" s="70" t="s">
        <v>34</v>
      </c>
      <c r="D682" s="51">
        <v>2093915.57</v>
      </c>
      <c r="E682" s="70" t="s">
        <v>782</v>
      </c>
      <c r="F682" s="70" t="s">
        <v>783</v>
      </c>
      <c r="G682" s="148">
        <v>2093915.57</v>
      </c>
      <c r="H682" s="50">
        <v>42510</v>
      </c>
      <c r="I682" s="50">
        <v>42719</v>
      </c>
      <c r="J682" s="51">
        <v>1963489.35</v>
      </c>
    </row>
    <row r="683" spans="1:10" ht="17.25" outlineLevel="1" thickBot="1" x14ac:dyDescent="0.3">
      <c r="A683" s="686" t="s">
        <v>628</v>
      </c>
      <c r="B683" s="687"/>
      <c r="C683" s="156"/>
      <c r="D683" s="157">
        <f>SUM(D682:D682)</f>
        <v>2093915.57</v>
      </c>
      <c r="E683" s="65"/>
      <c r="F683" s="65"/>
      <c r="G683" s="158">
        <f>SUM(G682:G682)</f>
        <v>2093915.57</v>
      </c>
      <c r="H683" s="65"/>
      <c r="I683" s="67"/>
      <c r="J683" s="157">
        <f>SUM(J682:J682)</f>
        <v>1963489.35</v>
      </c>
    </row>
    <row r="684" spans="1:10" s="4" customFormat="1" ht="28.5" customHeight="1" x14ac:dyDescent="0.25">
      <c r="A684" s="734">
        <v>3</v>
      </c>
      <c r="B684" s="732" t="s">
        <v>179</v>
      </c>
      <c r="C684" s="70" t="s">
        <v>500</v>
      </c>
      <c r="D684" s="51">
        <v>3591329.23</v>
      </c>
      <c r="E684" s="70" t="s">
        <v>784</v>
      </c>
      <c r="F684" s="70" t="s">
        <v>783</v>
      </c>
      <c r="G684" s="148">
        <v>3700000</v>
      </c>
      <c r="H684" s="50">
        <v>42518</v>
      </c>
      <c r="I684" s="50">
        <v>42518</v>
      </c>
      <c r="J684" s="51">
        <v>3591329.2300000004</v>
      </c>
    </row>
    <row r="685" spans="1:10" ht="49.5" outlineLevel="1" x14ac:dyDescent="0.25">
      <c r="A685" s="731"/>
      <c r="B685" s="733"/>
      <c r="C685" s="116" t="s">
        <v>37</v>
      </c>
      <c r="D685" s="59">
        <f>87651.97*1.18</f>
        <v>103429.32459999999</v>
      </c>
      <c r="E685" s="60" t="s">
        <v>544</v>
      </c>
      <c r="F685" s="60" t="s">
        <v>534</v>
      </c>
      <c r="G685" s="61">
        <f>87651.97*1.18</f>
        <v>103429.32459999999</v>
      </c>
      <c r="H685" s="62">
        <v>42384</v>
      </c>
      <c r="I685" s="62">
        <v>42461</v>
      </c>
      <c r="J685" s="63">
        <v>103429.32999999999</v>
      </c>
    </row>
    <row r="686" spans="1:10" ht="17.25" outlineLevel="1" thickBot="1" x14ac:dyDescent="0.3">
      <c r="A686" s="686" t="s">
        <v>628</v>
      </c>
      <c r="B686" s="687"/>
      <c r="C686" s="156"/>
      <c r="D686" s="157">
        <f>SUM(D684:D685)</f>
        <v>3694758.5545999999</v>
      </c>
      <c r="E686" s="65"/>
      <c r="F686" s="65"/>
      <c r="G686" s="158">
        <f>SUM(G684:G685)</f>
        <v>3803429.3245999999</v>
      </c>
      <c r="H686" s="65"/>
      <c r="I686" s="67"/>
      <c r="J686" s="157">
        <f>SUM(J684:J685)</f>
        <v>3694758.5600000005</v>
      </c>
    </row>
    <row r="687" spans="1:10" s="22" customFormat="1" ht="33" x14ac:dyDescent="0.25">
      <c r="A687" s="734">
        <v>4</v>
      </c>
      <c r="B687" s="732" t="s">
        <v>177</v>
      </c>
      <c r="C687" s="658" t="s">
        <v>501</v>
      </c>
      <c r="D687" s="51">
        <v>20540000</v>
      </c>
      <c r="E687" s="658" t="s">
        <v>1041</v>
      </c>
      <c r="F687" s="658" t="s">
        <v>755</v>
      </c>
      <c r="G687" s="148">
        <v>19289000</v>
      </c>
      <c r="H687" s="657">
        <v>42896</v>
      </c>
      <c r="I687" s="657">
        <v>42887</v>
      </c>
      <c r="J687" s="51">
        <v>19707620.140000001</v>
      </c>
    </row>
    <row r="688" spans="1:10" ht="49.5" outlineLevel="1" x14ac:dyDescent="0.25">
      <c r="A688" s="731"/>
      <c r="B688" s="733"/>
      <c r="C688" s="116" t="s">
        <v>37</v>
      </c>
      <c r="D688" s="59">
        <f>87826.58*1.18</f>
        <v>103635.36439999999</v>
      </c>
      <c r="E688" s="60" t="s">
        <v>544</v>
      </c>
      <c r="F688" s="60" t="s">
        <v>534</v>
      </c>
      <c r="G688" s="61">
        <f>87826.58*1.18</f>
        <v>103635.36439999999</v>
      </c>
      <c r="H688" s="62">
        <v>42384</v>
      </c>
      <c r="I688" s="62">
        <v>41730</v>
      </c>
      <c r="J688" s="63">
        <v>103635.36</v>
      </c>
    </row>
    <row r="689" spans="1:10" ht="17.25" outlineLevel="1" thickBot="1" x14ac:dyDescent="0.3">
      <c r="A689" s="686" t="s">
        <v>628</v>
      </c>
      <c r="B689" s="687"/>
      <c r="C689" s="156"/>
      <c r="D689" s="157">
        <f>SUM(D687:D688)</f>
        <v>20643635.364399999</v>
      </c>
      <c r="E689" s="88"/>
      <c r="F689" s="88"/>
      <c r="G689" s="158">
        <f>SUM(G687:G688)</f>
        <v>19392635.364399999</v>
      </c>
      <c r="H689" s="88"/>
      <c r="I689" s="130"/>
      <c r="J689" s="157">
        <f>SUM(J687:J688)</f>
        <v>19811255.5</v>
      </c>
    </row>
    <row r="690" spans="1:10" s="4" customFormat="1" ht="33" x14ac:dyDescent="0.25">
      <c r="A690" s="175">
        <v>5</v>
      </c>
      <c r="B690" s="176" t="s">
        <v>175</v>
      </c>
      <c r="C690" s="70" t="s">
        <v>34</v>
      </c>
      <c r="D690" s="51">
        <v>3160081</v>
      </c>
      <c r="E690" s="70" t="s">
        <v>782</v>
      </c>
      <c r="F690" s="70" t="s">
        <v>783</v>
      </c>
      <c r="G690" s="148">
        <v>3160080.82</v>
      </c>
      <c r="H690" s="50">
        <v>42510</v>
      </c>
      <c r="I690" s="50">
        <v>42719</v>
      </c>
      <c r="J690" s="51">
        <v>2728046.43</v>
      </c>
    </row>
    <row r="691" spans="1:10" ht="17.25" outlineLevel="1" thickBot="1" x14ac:dyDescent="0.3">
      <c r="A691" s="724" t="s">
        <v>628</v>
      </c>
      <c r="B691" s="725"/>
      <c r="C691" s="164"/>
      <c r="D691" s="157">
        <f>SUM(D690:D690)</f>
        <v>3160081</v>
      </c>
      <c r="E691" s="90"/>
      <c r="F691" s="90"/>
      <c r="G691" s="158">
        <f>SUM(G690:G690)</f>
        <v>3160080.82</v>
      </c>
      <c r="H691" s="90"/>
      <c r="I691" s="108"/>
      <c r="J691" s="157">
        <f>SUM(J690:J690)</f>
        <v>2728046.43</v>
      </c>
    </row>
    <row r="692" spans="1:10" s="4" customFormat="1" ht="33" x14ac:dyDescent="0.25">
      <c r="A692" s="175">
        <v>6</v>
      </c>
      <c r="B692" s="176" t="s">
        <v>176</v>
      </c>
      <c r="C692" s="70" t="s">
        <v>35</v>
      </c>
      <c r="D692" s="51">
        <v>2158331.5499999998</v>
      </c>
      <c r="E692" s="70" t="s">
        <v>782</v>
      </c>
      <c r="F692" s="70" t="s">
        <v>783</v>
      </c>
      <c r="G692" s="148">
        <v>2158331.5499999998</v>
      </c>
      <c r="H692" s="50">
        <v>42490</v>
      </c>
      <c r="I692" s="50">
        <v>42719</v>
      </c>
      <c r="J692" s="51">
        <v>2026673.65</v>
      </c>
    </row>
    <row r="693" spans="1:10" ht="17.25" outlineLevel="1" thickBot="1" x14ac:dyDescent="0.3">
      <c r="A693" s="686" t="s">
        <v>628</v>
      </c>
      <c r="B693" s="687"/>
      <c r="C693" s="156"/>
      <c r="D693" s="157">
        <f>SUM(D692:D692)</f>
        <v>2158331.5499999998</v>
      </c>
      <c r="E693" s="88"/>
      <c r="F693" s="88"/>
      <c r="G693" s="158">
        <f>SUM(G692:G692)</f>
        <v>2158331.5499999998</v>
      </c>
      <c r="H693" s="88"/>
      <c r="I693" s="130"/>
      <c r="J693" s="157">
        <f>SUM(J692:J692)</f>
        <v>2026673.65</v>
      </c>
    </row>
    <row r="694" spans="1:10" s="4" customFormat="1" ht="33" x14ac:dyDescent="0.25">
      <c r="A694" s="734">
        <v>7</v>
      </c>
      <c r="B694" s="732" t="s">
        <v>178</v>
      </c>
      <c r="C694" s="514" t="s">
        <v>501</v>
      </c>
      <c r="D694" s="51">
        <v>6460000</v>
      </c>
      <c r="E694" s="514" t="s">
        <v>1056</v>
      </c>
      <c r="F694" s="514" t="s">
        <v>918</v>
      </c>
      <c r="G694" s="148">
        <v>5200000</v>
      </c>
      <c r="H694" s="511">
        <v>42725</v>
      </c>
      <c r="I694" s="511">
        <v>42832</v>
      </c>
      <c r="J694" s="51">
        <v>5103183.83</v>
      </c>
    </row>
    <row r="695" spans="1:10" ht="49.5" outlineLevel="1" x14ac:dyDescent="0.25">
      <c r="A695" s="731"/>
      <c r="B695" s="733"/>
      <c r="C695" s="150" t="s">
        <v>37</v>
      </c>
      <c r="D695" s="151">
        <v>95560</v>
      </c>
      <c r="E695" s="152" t="s">
        <v>544</v>
      </c>
      <c r="F695" s="152" t="s">
        <v>534</v>
      </c>
      <c r="G695" s="153">
        <f>80985.87*1.18</f>
        <v>95563.326599999986</v>
      </c>
      <c r="H695" s="154">
        <v>42384</v>
      </c>
      <c r="I695" s="174"/>
      <c r="J695" s="155"/>
    </row>
    <row r="696" spans="1:10" ht="17.25" outlineLevel="1" thickBot="1" x14ac:dyDescent="0.3">
      <c r="A696" s="686" t="s">
        <v>628</v>
      </c>
      <c r="B696" s="687"/>
      <c r="C696" s="156"/>
      <c r="D696" s="157">
        <f>SUM(D694:D695)</f>
        <v>6555560</v>
      </c>
      <c r="E696" s="88"/>
      <c r="F696" s="88"/>
      <c r="G696" s="158">
        <f>SUM(G694:G695)</f>
        <v>5295563.3266000003</v>
      </c>
      <c r="H696" s="88"/>
      <c r="I696" s="130"/>
      <c r="J696" s="157">
        <f>SUM(J694:J695)</f>
        <v>5103183.83</v>
      </c>
    </row>
    <row r="697" spans="1:10" s="7" customFormat="1" ht="19.5" customHeight="1" outlineLevel="1" thickBot="1" x14ac:dyDescent="0.3">
      <c r="A697" s="196"/>
      <c r="B697" s="783" t="s">
        <v>1008</v>
      </c>
      <c r="C697" s="784"/>
      <c r="D697" s="197">
        <v>948194.09</v>
      </c>
      <c r="E697" s="198"/>
      <c r="F697" s="199"/>
      <c r="G697" s="200">
        <f>SUM(G698:G701)</f>
        <v>948194.09000000008</v>
      </c>
      <c r="H697" s="201"/>
      <c r="I697" s="202"/>
      <c r="J697" s="197">
        <f>SUM(J698:J701)</f>
        <v>803554.30999999994</v>
      </c>
    </row>
    <row r="698" spans="1:10" s="7" customFormat="1" ht="25.5" customHeight="1" outlineLevel="1" x14ac:dyDescent="0.25">
      <c r="A698" s="285"/>
      <c r="B698" s="267" t="s">
        <v>1287</v>
      </c>
      <c r="C698" s="553" t="s">
        <v>37</v>
      </c>
      <c r="D698" s="536"/>
      <c r="E698" s="708" t="s">
        <v>1291</v>
      </c>
      <c r="F698" s="710" t="s">
        <v>1286</v>
      </c>
      <c r="G698" s="104">
        <v>399993.13</v>
      </c>
      <c r="H698" s="676">
        <v>42736</v>
      </c>
      <c r="I698" s="554">
        <v>42744</v>
      </c>
      <c r="J698" s="48">
        <v>338977.23</v>
      </c>
    </row>
    <row r="699" spans="1:10" s="7" customFormat="1" ht="33.75" customHeight="1" outlineLevel="1" x14ac:dyDescent="0.25">
      <c r="A699" s="285"/>
      <c r="B699" s="247" t="s">
        <v>1288</v>
      </c>
      <c r="C699" s="91" t="s">
        <v>37</v>
      </c>
      <c r="D699" s="186"/>
      <c r="E699" s="708"/>
      <c r="F699" s="710"/>
      <c r="G699" s="73">
        <v>78419.899999999994</v>
      </c>
      <c r="H699" s="676"/>
      <c r="I699" s="75">
        <v>42744</v>
      </c>
      <c r="J699" s="94">
        <v>66457.539999999994</v>
      </c>
    </row>
    <row r="700" spans="1:10" s="7" customFormat="1" ht="27.75" customHeight="1" outlineLevel="1" x14ac:dyDescent="0.25">
      <c r="A700" s="285"/>
      <c r="B700" s="247" t="s">
        <v>1289</v>
      </c>
      <c r="C700" s="91" t="s">
        <v>37</v>
      </c>
      <c r="D700" s="186"/>
      <c r="E700" s="708"/>
      <c r="F700" s="710"/>
      <c r="G700" s="73">
        <v>79590.27</v>
      </c>
      <c r="H700" s="676"/>
      <c r="I700" s="75">
        <v>42744</v>
      </c>
      <c r="J700" s="127">
        <v>67449.38</v>
      </c>
    </row>
    <row r="701" spans="1:10" s="7" customFormat="1" ht="33.75" customHeight="1" outlineLevel="1" x14ac:dyDescent="0.25">
      <c r="A701" s="285"/>
      <c r="B701" s="247" t="s">
        <v>1290</v>
      </c>
      <c r="C701" s="91" t="s">
        <v>37</v>
      </c>
      <c r="D701" s="186"/>
      <c r="E701" s="709"/>
      <c r="F701" s="711"/>
      <c r="G701" s="73">
        <v>390190.79</v>
      </c>
      <c r="H701" s="677"/>
      <c r="I701" s="75">
        <v>42744</v>
      </c>
      <c r="J701" s="127">
        <v>330670.15999999997</v>
      </c>
    </row>
    <row r="702" spans="1:10" ht="17.25" outlineLevel="1" thickBot="1" x14ac:dyDescent="0.3">
      <c r="A702" s="796" t="s">
        <v>629</v>
      </c>
      <c r="B702" s="797"/>
      <c r="C702" s="286"/>
      <c r="D702" s="287">
        <f>SUM(D696,D693,D691,D689,D686,D683,D681,D697)</f>
        <v>41416219.269000001</v>
      </c>
      <c r="E702" s="286"/>
      <c r="F702" s="286"/>
      <c r="G702" s="288">
        <f>SUM(G696,G693,G691,G689,G686,G683,G681,G697)</f>
        <v>39013893.185600005</v>
      </c>
      <c r="H702" s="286"/>
      <c r="I702" s="289"/>
      <c r="J702" s="287">
        <f>SUM(J696,J693,J691,J689,J686,J683,J681,J697)</f>
        <v>38160823.550000004</v>
      </c>
    </row>
    <row r="703" spans="1:10" s="4" customFormat="1" ht="24.75" customHeight="1" thickBot="1" x14ac:dyDescent="0.3">
      <c r="A703" s="772" t="s">
        <v>639</v>
      </c>
      <c r="B703" s="773"/>
      <c r="C703" s="773"/>
      <c r="D703" s="773"/>
      <c r="E703" s="773"/>
      <c r="F703" s="773"/>
      <c r="G703" s="773"/>
      <c r="H703" s="773"/>
      <c r="I703" s="773"/>
      <c r="J703" s="773"/>
    </row>
    <row r="704" spans="1:10" s="4" customFormat="1" ht="33" x14ac:dyDescent="0.25">
      <c r="A704" s="734">
        <v>1</v>
      </c>
      <c r="B704" s="732" t="s">
        <v>180</v>
      </c>
      <c r="C704" s="70" t="s">
        <v>38</v>
      </c>
      <c r="D704" s="51">
        <v>570727.93999999994</v>
      </c>
      <c r="E704" s="70" t="s">
        <v>590</v>
      </c>
      <c r="F704" s="70" t="s">
        <v>589</v>
      </c>
      <c r="G704" s="148">
        <v>665199.33335375832</v>
      </c>
      <c r="H704" s="50">
        <v>42551</v>
      </c>
      <c r="I704" s="50">
        <v>42467</v>
      </c>
      <c r="J704" s="51">
        <v>564556.65</v>
      </c>
    </row>
    <row r="705" spans="1:10" ht="24.75" customHeight="1" outlineLevel="1" x14ac:dyDescent="0.25">
      <c r="A705" s="731"/>
      <c r="B705" s="733"/>
      <c r="C705" s="91" t="s">
        <v>34</v>
      </c>
      <c r="D705" s="52">
        <v>3501230.98</v>
      </c>
      <c r="E705" s="91" t="s">
        <v>656</v>
      </c>
      <c r="F705" s="91" t="s">
        <v>591</v>
      </c>
      <c r="G705" s="149">
        <v>3575132.14</v>
      </c>
      <c r="H705" s="75">
        <v>42612</v>
      </c>
      <c r="I705" s="75">
        <v>42592</v>
      </c>
      <c r="J705" s="52">
        <f>3501230.98-367782.54</f>
        <v>3133448.44</v>
      </c>
    </row>
    <row r="706" spans="1:10" ht="33" outlineLevel="1" x14ac:dyDescent="0.25">
      <c r="A706" s="731"/>
      <c r="B706" s="733"/>
      <c r="C706" s="91" t="s">
        <v>35</v>
      </c>
      <c r="D706" s="52">
        <v>449789.04</v>
      </c>
      <c r="E706" s="91" t="s">
        <v>656</v>
      </c>
      <c r="F706" s="91" t="s">
        <v>591</v>
      </c>
      <c r="G706" s="149">
        <v>520881.5</v>
      </c>
      <c r="H706" s="75">
        <v>42475</v>
      </c>
      <c r="I706" s="75">
        <v>42454</v>
      </c>
      <c r="J706" s="52">
        <v>449789.04</v>
      </c>
    </row>
    <row r="707" spans="1:10" ht="33" outlineLevel="1" x14ac:dyDescent="0.25">
      <c r="A707" s="731"/>
      <c r="B707" s="733"/>
      <c r="C707" s="91" t="s">
        <v>36</v>
      </c>
      <c r="D707" s="52">
        <v>331779.96999999997</v>
      </c>
      <c r="E707" s="91" t="s">
        <v>656</v>
      </c>
      <c r="F707" s="91" t="s">
        <v>591</v>
      </c>
      <c r="G707" s="149">
        <v>376554.52</v>
      </c>
      <c r="H707" s="75">
        <v>42475</v>
      </c>
      <c r="I707" s="75">
        <v>42454</v>
      </c>
      <c r="J707" s="52">
        <v>331779.96999999997</v>
      </c>
    </row>
    <row r="708" spans="1:10" ht="33" outlineLevel="1" x14ac:dyDescent="0.25">
      <c r="A708" s="731"/>
      <c r="B708" s="733"/>
      <c r="C708" s="91" t="s">
        <v>500</v>
      </c>
      <c r="D708" s="52">
        <v>3663694.4</v>
      </c>
      <c r="E708" s="91" t="s">
        <v>626</v>
      </c>
      <c r="F708" s="91" t="s">
        <v>592</v>
      </c>
      <c r="G708" s="149">
        <v>3663699.4</v>
      </c>
      <c r="H708" s="75">
        <v>42459</v>
      </c>
      <c r="I708" s="75">
        <v>42454</v>
      </c>
      <c r="J708" s="52">
        <v>3299723.72</v>
      </c>
    </row>
    <row r="709" spans="1:10" ht="33" outlineLevel="1" x14ac:dyDescent="0.25">
      <c r="A709" s="731"/>
      <c r="B709" s="733"/>
      <c r="C709" s="91" t="s">
        <v>515</v>
      </c>
      <c r="D709" s="52">
        <v>764132.6</v>
      </c>
      <c r="E709" s="105" t="s">
        <v>689</v>
      </c>
      <c r="F709" s="91" t="s">
        <v>690</v>
      </c>
      <c r="G709" s="149">
        <v>792659.1</v>
      </c>
      <c r="H709" s="75">
        <v>42583</v>
      </c>
      <c r="I709" s="290">
        <v>42566</v>
      </c>
      <c r="J709" s="52">
        <v>764132.6</v>
      </c>
    </row>
    <row r="710" spans="1:10" s="24" customFormat="1" ht="16.5" outlineLevel="1" x14ac:dyDescent="0.25">
      <c r="A710" s="731"/>
      <c r="B710" s="733"/>
      <c r="C710" s="91" t="s">
        <v>988</v>
      </c>
      <c r="D710" s="52">
        <v>48476.37</v>
      </c>
      <c r="E710" s="105" t="s">
        <v>989</v>
      </c>
      <c r="F710" s="91" t="s">
        <v>990</v>
      </c>
      <c r="G710" s="52">
        <v>48476.37</v>
      </c>
      <c r="H710" s="75"/>
      <c r="I710" s="291">
        <v>42604</v>
      </c>
      <c r="J710" s="52">
        <v>48476.37</v>
      </c>
    </row>
    <row r="711" spans="1:10" ht="49.5" outlineLevel="1" x14ac:dyDescent="0.25">
      <c r="A711" s="731"/>
      <c r="B711" s="733"/>
      <c r="C711" s="116" t="s">
        <v>37</v>
      </c>
      <c r="D711" s="59">
        <f>82413.31*1.18</f>
        <v>97247.705799999996</v>
      </c>
      <c r="E711" s="60" t="s">
        <v>559</v>
      </c>
      <c r="F711" s="60" t="s">
        <v>535</v>
      </c>
      <c r="G711" s="61">
        <f>82413.31*1.18</f>
        <v>97247.705799999996</v>
      </c>
      <c r="H711" s="62">
        <v>42458</v>
      </c>
      <c r="I711" s="62">
        <v>42408</v>
      </c>
      <c r="J711" s="63">
        <v>97247.7</v>
      </c>
    </row>
    <row r="712" spans="1:10" ht="17.25" outlineLevel="1" thickBot="1" x14ac:dyDescent="0.3">
      <c r="A712" s="686" t="s">
        <v>628</v>
      </c>
      <c r="B712" s="687"/>
      <c r="C712" s="156"/>
      <c r="D712" s="157">
        <f>SUM(D704:D711)</f>
        <v>9427079.0057999995</v>
      </c>
      <c r="E712" s="88"/>
      <c r="F712" s="88"/>
      <c r="G712" s="158">
        <f>SUM(G704:G711)</f>
        <v>9739850.0691537578</v>
      </c>
      <c r="H712" s="88"/>
      <c r="I712" s="231"/>
      <c r="J712" s="157">
        <f>SUM(J704:J711)</f>
        <v>8689154.4899999984</v>
      </c>
    </row>
    <row r="713" spans="1:10" s="4" customFormat="1" ht="33" x14ac:dyDescent="0.25">
      <c r="A713" s="734">
        <v>2</v>
      </c>
      <c r="B713" s="732" t="s">
        <v>181</v>
      </c>
      <c r="C713" s="70" t="s">
        <v>38</v>
      </c>
      <c r="D713" s="51">
        <v>497025.1</v>
      </c>
      <c r="E713" s="70" t="s">
        <v>590</v>
      </c>
      <c r="F713" s="70" t="s">
        <v>589</v>
      </c>
      <c r="G713" s="148">
        <v>548328.84911927755</v>
      </c>
      <c r="H713" s="50">
        <v>42551</v>
      </c>
      <c r="I713" s="50">
        <v>42537</v>
      </c>
      <c r="J713" s="51">
        <v>497025.1</v>
      </c>
    </row>
    <row r="714" spans="1:10" ht="33" outlineLevel="1" x14ac:dyDescent="0.25">
      <c r="A714" s="731"/>
      <c r="B714" s="733"/>
      <c r="C714" s="91" t="s">
        <v>34</v>
      </c>
      <c r="D714" s="52">
        <v>3256567.84</v>
      </c>
      <c r="E714" s="91" t="s">
        <v>656</v>
      </c>
      <c r="F714" s="91" t="s">
        <v>591</v>
      </c>
      <c r="G714" s="149">
        <v>3536308.96</v>
      </c>
      <c r="H714" s="75">
        <v>42612</v>
      </c>
      <c r="I714" s="75">
        <v>42592</v>
      </c>
      <c r="J714" s="52">
        <f>3256567.84-367782.54</f>
        <v>2888785.3</v>
      </c>
    </row>
    <row r="715" spans="1:10" ht="33" outlineLevel="1" x14ac:dyDescent="0.25">
      <c r="A715" s="731"/>
      <c r="B715" s="733"/>
      <c r="C715" s="91" t="s">
        <v>35</v>
      </c>
      <c r="D715" s="52">
        <v>431957.25</v>
      </c>
      <c r="E715" s="91" t="s">
        <v>656</v>
      </c>
      <c r="F715" s="91" t="s">
        <v>591</v>
      </c>
      <c r="G715" s="149">
        <v>530651.9</v>
      </c>
      <c r="H715" s="75">
        <v>42475</v>
      </c>
      <c r="I715" s="75">
        <v>42454</v>
      </c>
      <c r="J715" s="52">
        <v>431957.25</v>
      </c>
    </row>
    <row r="716" spans="1:10" ht="33" outlineLevel="1" x14ac:dyDescent="0.25">
      <c r="A716" s="731"/>
      <c r="B716" s="733"/>
      <c r="C716" s="91" t="s">
        <v>36</v>
      </c>
      <c r="D716" s="52">
        <v>308929.33</v>
      </c>
      <c r="E716" s="91" t="s">
        <v>656</v>
      </c>
      <c r="F716" s="91" t="s">
        <v>591</v>
      </c>
      <c r="G716" s="149">
        <v>376554.52</v>
      </c>
      <c r="H716" s="75">
        <v>42475</v>
      </c>
      <c r="I716" s="75">
        <v>42454</v>
      </c>
      <c r="J716" s="52">
        <v>308929.32999999996</v>
      </c>
    </row>
    <row r="717" spans="1:10" ht="28.5" customHeight="1" outlineLevel="1" x14ac:dyDescent="0.25">
      <c r="A717" s="731"/>
      <c r="B717" s="733"/>
      <c r="C717" s="91" t="s">
        <v>500</v>
      </c>
      <c r="D717" s="52">
        <v>3771351.98</v>
      </c>
      <c r="E717" s="91" t="s">
        <v>626</v>
      </c>
      <c r="F717" s="91" t="s">
        <v>592</v>
      </c>
      <c r="G717" s="149">
        <v>3771351.98</v>
      </c>
      <c r="H717" s="75">
        <v>42459</v>
      </c>
      <c r="I717" s="75">
        <v>42454</v>
      </c>
      <c r="J717" s="52">
        <v>3326974.94</v>
      </c>
    </row>
    <row r="718" spans="1:10" ht="33" outlineLevel="1" x14ac:dyDescent="0.25">
      <c r="A718" s="731"/>
      <c r="B718" s="733"/>
      <c r="C718" s="91" t="s">
        <v>515</v>
      </c>
      <c r="D718" s="52">
        <v>741522.62</v>
      </c>
      <c r="E718" s="105" t="s">
        <v>689</v>
      </c>
      <c r="F718" s="91" t="s">
        <v>690</v>
      </c>
      <c r="G718" s="149">
        <v>792659.1</v>
      </c>
      <c r="H718" s="75">
        <v>42583</v>
      </c>
      <c r="I718" s="290">
        <v>42559</v>
      </c>
      <c r="J718" s="52">
        <v>741522.62000000011</v>
      </c>
    </row>
    <row r="719" spans="1:10" s="24" customFormat="1" ht="16.5" outlineLevel="1" x14ac:dyDescent="0.25">
      <c r="A719" s="731"/>
      <c r="B719" s="733"/>
      <c r="C719" s="91" t="s">
        <v>988</v>
      </c>
      <c r="D719" s="52">
        <v>47949.95</v>
      </c>
      <c r="E719" s="105" t="s">
        <v>989</v>
      </c>
      <c r="F719" s="91" t="s">
        <v>990</v>
      </c>
      <c r="G719" s="52">
        <v>47949.95</v>
      </c>
      <c r="H719" s="75"/>
      <c r="I719" s="291">
        <v>42604</v>
      </c>
      <c r="J719" s="52">
        <v>47949.95</v>
      </c>
    </row>
    <row r="720" spans="1:10" ht="49.5" outlineLevel="1" x14ac:dyDescent="0.25">
      <c r="A720" s="731"/>
      <c r="B720" s="733"/>
      <c r="C720" s="116" t="s">
        <v>37</v>
      </c>
      <c r="D720" s="59">
        <f>82413.31*1.18</f>
        <v>97247.705799999996</v>
      </c>
      <c r="E720" s="60" t="s">
        <v>559</v>
      </c>
      <c r="F720" s="60" t="s">
        <v>535</v>
      </c>
      <c r="G720" s="61">
        <f>82413.31*1.18</f>
        <v>97247.705799999996</v>
      </c>
      <c r="H720" s="62">
        <v>42458</v>
      </c>
      <c r="I720" s="62">
        <v>42408</v>
      </c>
      <c r="J720" s="63">
        <v>97247.7</v>
      </c>
    </row>
    <row r="721" spans="1:10" ht="17.25" outlineLevel="1" thickBot="1" x14ac:dyDescent="0.3">
      <c r="A721" s="686" t="s">
        <v>628</v>
      </c>
      <c r="B721" s="687"/>
      <c r="C721" s="156"/>
      <c r="D721" s="157">
        <f>SUM(D713:D720)</f>
        <v>9152551.775799999</v>
      </c>
      <c r="E721" s="88"/>
      <c r="F721" s="88"/>
      <c r="G721" s="158">
        <f>SUM(G713:G720)</f>
        <v>9701052.9649192784</v>
      </c>
      <c r="H721" s="88"/>
      <c r="I721" s="231"/>
      <c r="J721" s="157">
        <f>SUM(J713:J720)</f>
        <v>8340392.1900000004</v>
      </c>
    </row>
    <row r="722" spans="1:10" s="4" customFormat="1" ht="33" x14ac:dyDescent="0.25">
      <c r="A722" s="734">
        <v>3</v>
      </c>
      <c r="B722" s="732" t="s">
        <v>182</v>
      </c>
      <c r="C722" s="70" t="s">
        <v>38</v>
      </c>
      <c r="D722" s="51">
        <v>616477.67000000004</v>
      </c>
      <c r="E722" s="70" t="s">
        <v>590</v>
      </c>
      <c r="F722" s="70" t="s">
        <v>589</v>
      </c>
      <c r="G722" s="148">
        <v>665199.33335375832</v>
      </c>
      <c r="H722" s="50">
        <v>42551</v>
      </c>
      <c r="I722" s="50">
        <v>42537</v>
      </c>
      <c r="J722" s="51">
        <v>616477.66999999993</v>
      </c>
    </row>
    <row r="723" spans="1:10" ht="33" outlineLevel="1" x14ac:dyDescent="0.25">
      <c r="A723" s="731"/>
      <c r="B723" s="733"/>
      <c r="C723" s="91" t="s">
        <v>34</v>
      </c>
      <c r="D723" s="52">
        <v>3446226.95</v>
      </c>
      <c r="E723" s="91" t="s">
        <v>656</v>
      </c>
      <c r="F723" s="91" t="s">
        <v>591</v>
      </c>
      <c r="G723" s="149">
        <v>3582136.62</v>
      </c>
      <c r="H723" s="75">
        <v>42612</v>
      </c>
      <c r="I723" s="75">
        <v>42592</v>
      </c>
      <c r="J723" s="52">
        <f>3446226.95-367782.54</f>
        <v>3078444.41</v>
      </c>
    </row>
    <row r="724" spans="1:10" ht="33" outlineLevel="1" x14ac:dyDescent="0.25">
      <c r="A724" s="731"/>
      <c r="B724" s="733"/>
      <c r="C724" s="91" t="s">
        <v>35</v>
      </c>
      <c r="D724" s="52">
        <v>449789.04</v>
      </c>
      <c r="E724" s="91" t="s">
        <v>656</v>
      </c>
      <c r="F724" s="91" t="s">
        <v>591</v>
      </c>
      <c r="G724" s="149">
        <v>520881.5</v>
      </c>
      <c r="H724" s="75">
        <v>42475</v>
      </c>
      <c r="I724" s="75">
        <v>42454</v>
      </c>
      <c r="J724" s="52">
        <v>449789.04</v>
      </c>
    </row>
    <row r="725" spans="1:10" ht="30.75" customHeight="1" outlineLevel="1" x14ac:dyDescent="0.25">
      <c r="A725" s="731"/>
      <c r="B725" s="733"/>
      <c r="C725" s="91" t="s">
        <v>36</v>
      </c>
      <c r="D725" s="52">
        <v>331779.96999999997</v>
      </c>
      <c r="E725" s="91" t="s">
        <v>656</v>
      </c>
      <c r="F725" s="91" t="s">
        <v>591</v>
      </c>
      <c r="G725" s="149">
        <v>376554.52</v>
      </c>
      <c r="H725" s="75">
        <v>42475</v>
      </c>
      <c r="I725" s="75">
        <v>42454</v>
      </c>
      <c r="J725" s="52">
        <v>331779.96999999997</v>
      </c>
    </row>
    <row r="726" spans="1:10" ht="33" outlineLevel="1" x14ac:dyDescent="0.25">
      <c r="A726" s="731"/>
      <c r="B726" s="733"/>
      <c r="C726" s="91" t="s">
        <v>515</v>
      </c>
      <c r="D726" s="52">
        <v>732023.62</v>
      </c>
      <c r="E726" s="105" t="s">
        <v>689</v>
      </c>
      <c r="F726" s="91" t="s">
        <v>690</v>
      </c>
      <c r="G726" s="149">
        <v>792659.1</v>
      </c>
      <c r="H726" s="75">
        <v>42583</v>
      </c>
      <c r="I726" s="290">
        <v>42559</v>
      </c>
      <c r="J726" s="52">
        <v>732023.62000000011</v>
      </c>
    </row>
    <row r="727" spans="1:10" s="24" customFormat="1" ht="16.5" outlineLevel="1" x14ac:dyDescent="0.25">
      <c r="A727" s="731"/>
      <c r="B727" s="733"/>
      <c r="C727" s="91" t="s">
        <v>988</v>
      </c>
      <c r="D727" s="52">
        <v>48571.34</v>
      </c>
      <c r="E727" s="105" t="s">
        <v>989</v>
      </c>
      <c r="F727" s="91" t="s">
        <v>990</v>
      </c>
      <c r="G727" s="52">
        <v>48571.34</v>
      </c>
      <c r="H727" s="75"/>
      <c r="I727" s="291">
        <v>42604</v>
      </c>
      <c r="J727" s="52">
        <v>48571.34</v>
      </c>
    </row>
    <row r="728" spans="1:10" ht="49.5" outlineLevel="1" x14ac:dyDescent="0.25">
      <c r="A728" s="731"/>
      <c r="B728" s="733"/>
      <c r="C728" s="116" t="s">
        <v>37</v>
      </c>
      <c r="D728" s="59">
        <f>83737.52*1.18</f>
        <v>98810.2736</v>
      </c>
      <c r="E728" s="60" t="s">
        <v>559</v>
      </c>
      <c r="F728" s="60" t="s">
        <v>535</v>
      </c>
      <c r="G728" s="61">
        <f>83737.52*1.18</f>
        <v>98810.2736</v>
      </c>
      <c r="H728" s="62">
        <v>42458</v>
      </c>
      <c r="I728" s="62">
        <v>42408</v>
      </c>
      <c r="J728" s="63">
        <v>98810.27</v>
      </c>
    </row>
    <row r="729" spans="1:10" ht="17.25" outlineLevel="1" thickBot="1" x14ac:dyDescent="0.3">
      <c r="A729" s="724" t="s">
        <v>628</v>
      </c>
      <c r="B729" s="725"/>
      <c r="C729" s="164"/>
      <c r="D729" s="165">
        <f>SUM(D722:D728)</f>
        <v>5723678.8635999998</v>
      </c>
      <c r="E729" s="78"/>
      <c r="F729" s="78"/>
      <c r="G729" s="166">
        <f>SUM(G722:G728)</f>
        <v>6084812.6869537579</v>
      </c>
      <c r="H729" s="78"/>
      <c r="I729" s="246"/>
      <c r="J729" s="165">
        <f>SUM(J722:J728)</f>
        <v>5355896.3199999994</v>
      </c>
    </row>
    <row r="730" spans="1:10" s="4" customFormat="1" ht="39" customHeight="1" x14ac:dyDescent="0.25">
      <c r="A730" s="175">
        <v>4</v>
      </c>
      <c r="B730" s="176" t="s">
        <v>183</v>
      </c>
      <c r="C730" s="70" t="s">
        <v>500</v>
      </c>
      <c r="D730" s="51">
        <v>3643326.32</v>
      </c>
      <c r="E730" s="70" t="s">
        <v>659</v>
      </c>
      <c r="F730" s="70" t="s">
        <v>593</v>
      </c>
      <c r="G730" s="148">
        <v>3645333.88</v>
      </c>
      <c r="H730" s="50">
        <v>42459</v>
      </c>
      <c r="I730" s="50">
        <v>42459</v>
      </c>
      <c r="J730" s="51">
        <v>3643326.32</v>
      </c>
    </row>
    <row r="731" spans="1:10" ht="17.25" outlineLevel="1" thickBot="1" x14ac:dyDescent="0.3">
      <c r="A731" s="686" t="s">
        <v>628</v>
      </c>
      <c r="B731" s="687"/>
      <c r="C731" s="156"/>
      <c r="D731" s="157">
        <f>SUM(D730:D730)</f>
        <v>3643326.32</v>
      </c>
      <c r="E731" s="88"/>
      <c r="F731" s="88"/>
      <c r="G731" s="158">
        <f>SUM(G730:G730)</f>
        <v>3645333.88</v>
      </c>
      <c r="H731" s="88"/>
      <c r="I731" s="130"/>
      <c r="J731" s="157">
        <f>SUM(J730:J730)</f>
        <v>3643326.32</v>
      </c>
    </row>
    <row r="732" spans="1:10" s="4" customFormat="1" ht="39.75" customHeight="1" x14ac:dyDescent="0.25">
      <c r="A732" s="175">
        <v>5</v>
      </c>
      <c r="B732" s="176" t="s">
        <v>184</v>
      </c>
      <c r="C732" s="70" t="s">
        <v>500</v>
      </c>
      <c r="D732" s="51">
        <v>4292975.6399999997</v>
      </c>
      <c r="E732" s="70" t="s">
        <v>659</v>
      </c>
      <c r="F732" s="70" t="s">
        <v>593</v>
      </c>
      <c r="G732" s="148">
        <v>4331739.9000000004</v>
      </c>
      <c r="H732" s="50">
        <v>42459</v>
      </c>
      <c r="I732" s="75">
        <v>42459</v>
      </c>
      <c r="J732" s="107">
        <v>4292975.6399999997</v>
      </c>
    </row>
    <row r="733" spans="1:10" ht="17.25" outlineLevel="1" thickBot="1" x14ac:dyDescent="0.3">
      <c r="A733" s="686" t="s">
        <v>628</v>
      </c>
      <c r="B733" s="687"/>
      <c r="C733" s="156"/>
      <c r="D733" s="157">
        <f>SUM(D732:D732)</f>
        <v>4292975.6399999997</v>
      </c>
      <c r="E733" s="88"/>
      <c r="F733" s="88"/>
      <c r="G733" s="158">
        <f>SUM(G732:G732)</f>
        <v>4331739.9000000004</v>
      </c>
      <c r="H733" s="88"/>
      <c r="I733" s="130"/>
      <c r="J733" s="157">
        <f>SUM(J732:J732)</f>
        <v>4292975.6399999997</v>
      </c>
    </row>
    <row r="734" spans="1:10" s="22" customFormat="1" ht="33" x14ac:dyDescent="0.25">
      <c r="A734" s="734">
        <v>6</v>
      </c>
      <c r="B734" s="732" t="s">
        <v>210</v>
      </c>
      <c r="C734" s="70" t="s">
        <v>500</v>
      </c>
      <c r="D734" s="51">
        <v>3900901.82</v>
      </c>
      <c r="E734" s="70" t="s">
        <v>1035</v>
      </c>
      <c r="F734" s="70" t="s">
        <v>695</v>
      </c>
      <c r="G734" s="148">
        <v>3881397.31</v>
      </c>
      <c r="H734" s="50">
        <v>42722</v>
      </c>
      <c r="I734" s="50">
        <v>42720</v>
      </c>
      <c r="J734" s="51">
        <v>3648919.9</v>
      </c>
    </row>
    <row r="735" spans="1:10" ht="49.5" outlineLevel="1" x14ac:dyDescent="0.25">
      <c r="A735" s="731"/>
      <c r="B735" s="733"/>
      <c r="C735" s="150" t="s">
        <v>37</v>
      </c>
      <c r="D735" s="151">
        <v>55328.52</v>
      </c>
      <c r="E735" s="152" t="s">
        <v>559</v>
      </c>
      <c r="F735" s="152" t="s">
        <v>535</v>
      </c>
      <c r="G735" s="153">
        <f>46888.58*1.18</f>
        <v>55328.524400000002</v>
      </c>
      <c r="H735" s="154">
        <v>42458</v>
      </c>
      <c r="I735" s="154">
        <v>42496</v>
      </c>
      <c r="J735" s="155">
        <v>55328.52</v>
      </c>
    </row>
    <row r="736" spans="1:10" ht="17.25" outlineLevel="1" thickBot="1" x14ac:dyDescent="0.3">
      <c r="A736" s="686" t="s">
        <v>628</v>
      </c>
      <c r="B736" s="687"/>
      <c r="C736" s="156"/>
      <c r="D736" s="157">
        <f>SUM(D734:D735)</f>
        <v>3956230.34</v>
      </c>
      <c r="E736" s="88"/>
      <c r="F736" s="88"/>
      <c r="G736" s="158">
        <f>SUM(G734:G735)</f>
        <v>3936725.8344000001</v>
      </c>
      <c r="H736" s="88"/>
      <c r="I736" s="130"/>
      <c r="J736" s="157">
        <f t="shared" ref="J736" si="2">SUM(J734:J735)</f>
        <v>3704248.42</v>
      </c>
    </row>
    <row r="737" spans="1:10" s="4" customFormat="1" ht="33" x14ac:dyDescent="0.25">
      <c r="A737" s="734">
        <v>7</v>
      </c>
      <c r="B737" s="732" t="s">
        <v>185</v>
      </c>
      <c r="C737" s="70" t="s">
        <v>38</v>
      </c>
      <c r="D737" s="51">
        <v>570703.94999999995</v>
      </c>
      <c r="E737" s="70" t="s">
        <v>590</v>
      </c>
      <c r="F737" s="70" t="s">
        <v>589</v>
      </c>
      <c r="G737" s="148">
        <v>665199.33335375832</v>
      </c>
      <c r="H737" s="50">
        <v>42551</v>
      </c>
      <c r="I737" s="50">
        <v>42467</v>
      </c>
      <c r="J737" s="51">
        <v>564532.66</v>
      </c>
    </row>
    <row r="738" spans="1:10" ht="33" outlineLevel="1" x14ac:dyDescent="0.25">
      <c r="A738" s="731"/>
      <c r="B738" s="733"/>
      <c r="C738" s="91" t="s">
        <v>34</v>
      </c>
      <c r="D738" s="52">
        <v>3528054.88</v>
      </c>
      <c r="E738" s="91" t="s">
        <v>656</v>
      </c>
      <c r="F738" s="91" t="s">
        <v>591</v>
      </c>
      <c r="G738" s="149">
        <v>3603133.54</v>
      </c>
      <c r="H738" s="75">
        <v>42612</v>
      </c>
      <c r="I738" s="75">
        <v>42592</v>
      </c>
      <c r="J738" s="52">
        <f>3528054.88-367782.54</f>
        <v>3160272.34</v>
      </c>
    </row>
    <row r="739" spans="1:10" ht="33" outlineLevel="1" x14ac:dyDescent="0.25">
      <c r="A739" s="731"/>
      <c r="B739" s="733"/>
      <c r="C739" s="91" t="s">
        <v>35</v>
      </c>
      <c r="D739" s="52">
        <v>449789.04</v>
      </c>
      <c r="E739" s="91" t="s">
        <v>656</v>
      </c>
      <c r="F739" s="91" t="s">
        <v>591</v>
      </c>
      <c r="G739" s="149">
        <v>520881.5</v>
      </c>
      <c r="H739" s="75">
        <v>42475</v>
      </c>
      <c r="I739" s="75">
        <v>42454</v>
      </c>
      <c r="J739" s="52">
        <v>449789.04</v>
      </c>
    </row>
    <row r="740" spans="1:10" ht="26.25" customHeight="1" outlineLevel="1" x14ac:dyDescent="0.25">
      <c r="A740" s="731"/>
      <c r="B740" s="733"/>
      <c r="C740" s="91" t="s">
        <v>36</v>
      </c>
      <c r="D740" s="52">
        <v>331779.96999999997</v>
      </c>
      <c r="E740" s="220" t="s">
        <v>656</v>
      </c>
      <c r="F740" s="91" t="s">
        <v>591</v>
      </c>
      <c r="G740" s="149">
        <v>376554.52</v>
      </c>
      <c r="H740" s="75">
        <v>42475</v>
      </c>
      <c r="I740" s="75">
        <v>42454</v>
      </c>
      <c r="J740" s="52">
        <v>331779.96999999997</v>
      </c>
    </row>
    <row r="741" spans="1:10" ht="33" outlineLevel="1" x14ac:dyDescent="0.25">
      <c r="A741" s="731"/>
      <c r="B741" s="733"/>
      <c r="C741" s="91" t="s">
        <v>515</v>
      </c>
      <c r="D741" s="52">
        <v>753425.28</v>
      </c>
      <c r="E741" s="91" t="s">
        <v>689</v>
      </c>
      <c r="F741" s="91" t="s">
        <v>690</v>
      </c>
      <c r="G741" s="149">
        <v>784095.84</v>
      </c>
      <c r="H741" s="75">
        <v>42583</v>
      </c>
      <c r="I741" s="290">
        <v>42578</v>
      </c>
      <c r="J741" s="52">
        <v>753425.28</v>
      </c>
    </row>
    <row r="742" spans="1:10" s="24" customFormat="1" ht="16.5" outlineLevel="1" x14ac:dyDescent="0.25">
      <c r="A742" s="731"/>
      <c r="B742" s="733"/>
      <c r="C742" s="91" t="s">
        <v>988</v>
      </c>
      <c r="D742" s="52">
        <v>48856.05</v>
      </c>
      <c r="E742" s="105" t="s">
        <v>989</v>
      </c>
      <c r="F742" s="91" t="s">
        <v>990</v>
      </c>
      <c r="G742" s="52">
        <v>48856.05</v>
      </c>
      <c r="H742" s="75"/>
      <c r="I742" s="291">
        <v>42604</v>
      </c>
      <c r="J742" s="52">
        <v>48856.05</v>
      </c>
    </row>
    <row r="743" spans="1:10" ht="49.5" outlineLevel="1" x14ac:dyDescent="0.25">
      <c r="A743" s="731"/>
      <c r="B743" s="733"/>
      <c r="C743" s="116" t="s">
        <v>37</v>
      </c>
      <c r="D743" s="59">
        <v>98228.84</v>
      </c>
      <c r="E743" s="60" t="s">
        <v>559</v>
      </c>
      <c r="F743" s="60" t="s">
        <v>535</v>
      </c>
      <c r="G743" s="61">
        <f>83858.97*1.18</f>
        <v>98953.584600000002</v>
      </c>
      <c r="H743" s="62">
        <v>42458</v>
      </c>
      <c r="I743" s="62">
        <v>42408</v>
      </c>
      <c r="J743" s="63">
        <v>98228.84</v>
      </c>
    </row>
    <row r="744" spans="1:10" ht="17.25" outlineLevel="1" thickBot="1" x14ac:dyDescent="0.3">
      <c r="A744" s="686" t="s">
        <v>628</v>
      </c>
      <c r="B744" s="687"/>
      <c r="C744" s="156"/>
      <c r="D744" s="157">
        <f>SUM(D737:D743)</f>
        <v>5780838.0099999998</v>
      </c>
      <c r="E744" s="88"/>
      <c r="F744" s="88"/>
      <c r="G744" s="158">
        <f>SUM(G737:G743)</f>
        <v>6097674.3679537578</v>
      </c>
      <c r="H744" s="88"/>
      <c r="I744" s="231"/>
      <c r="J744" s="157">
        <f>SUM(J737:J743)</f>
        <v>5406884.1799999997</v>
      </c>
    </row>
    <row r="745" spans="1:10" s="4" customFormat="1" ht="33" x14ac:dyDescent="0.25">
      <c r="A745" s="734">
        <v>8</v>
      </c>
      <c r="B745" s="732" t="s">
        <v>186</v>
      </c>
      <c r="C745" s="70" t="s">
        <v>38</v>
      </c>
      <c r="D745" s="51">
        <v>570703.94999999995</v>
      </c>
      <c r="E745" s="70" t="s">
        <v>590</v>
      </c>
      <c r="F745" s="70" t="s">
        <v>589</v>
      </c>
      <c r="G745" s="148">
        <v>665199.33335375832</v>
      </c>
      <c r="H745" s="50">
        <v>42551</v>
      </c>
      <c r="I745" s="50">
        <v>42467</v>
      </c>
      <c r="J745" s="51">
        <v>564532.66</v>
      </c>
    </row>
    <row r="746" spans="1:10" ht="33" outlineLevel="1" x14ac:dyDescent="0.25">
      <c r="A746" s="731"/>
      <c r="B746" s="733"/>
      <c r="C746" s="91" t="s">
        <v>34</v>
      </c>
      <c r="D746" s="52">
        <v>3455714.84</v>
      </c>
      <c r="E746" s="91" t="s">
        <v>656</v>
      </c>
      <c r="F746" s="91" t="s">
        <v>591</v>
      </c>
      <c r="G746" s="149">
        <v>3582989.76</v>
      </c>
      <c r="H746" s="75">
        <v>42612</v>
      </c>
      <c r="I746" s="75">
        <v>42592</v>
      </c>
      <c r="J746" s="52">
        <f>3455714.84-367782.54</f>
        <v>3087932.3</v>
      </c>
    </row>
    <row r="747" spans="1:10" ht="33" outlineLevel="1" x14ac:dyDescent="0.25">
      <c r="A747" s="731"/>
      <c r="B747" s="733"/>
      <c r="C747" s="91" t="s">
        <v>35</v>
      </c>
      <c r="D747" s="52">
        <v>441237.53</v>
      </c>
      <c r="E747" s="91" t="s">
        <v>656</v>
      </c>
      <c r="F747" s="91" t="s">
        <v>591</v>
      </c>
      <c r="G747" s="149">
        <v>520881.5</v>
      </c>
      <c r="H747" s="75">
        <v>42475</v>
      </c>
      <c r="I747" s="75">
        <v>42457</v>
      </c>
      <c r="J747" s="52">
        <v>441237.52999999997</v>
      </c>
    </row>
    <row r="748" spans="1:10" ht="33" outlineLevel="1" x14ac:dyDescent="0.25">
      <c r="A748" s="731"/>
      <c r="B748" s="733"/>
      <c r="C748" s="91" t="s">
        <v>36</v>
      </c>
      <c r="D748" s="52">
        <v>318184.64</v>
      </c>
      <c r="E748" s="91" t="s">
        <v>656</v>
      </c>
      <c r="F748" s="91" t="s">
        <v>591</v>
      </c>
      <c r="G748" s="149">
        <v>376554.52</v>
      </c>
      <c r="H748" s="75">
        <v>42475</v>
      </c>
      <c r="I748" s="75">
        <v>42457</v>
      </c>
      <c r="J748" s="52">
        <v>318184.63999999996</v>
      </c>
    </row>
    <row r="749" spans="1:10" ht="33" outlineLevel="1" x14ac:dyDescent="0.25">
      <c r="A749" s="731"/>
      <c r="B749" s="733"/>
      <c r="C749" s="91" t="s">
        <v>515</v>
      </c>
      <c r="D749" s="52">
        <v>758679.82</v>
      </c>
      <c r="E749" s="105" t="s">
        <v>689</v>
      </c>
      <c r="F749" s="91" t="s">
        <v>690</v>
      </c>
      <c r="G749" s="149">
        <v>792659.1</v>
      </c>
      <c r="H749" s="75">
        <v>42583</v>
      </c>
      <c r="I749" s="290">
        <v>42559</v>
      </c>
      <c r="J749" s="52">
        <v>758679.82</v>
      </c>
    </row>
    <row r="750" spans="1:10" s="24" customFormat="1" ht="16.5" outlineLevel="1" x14ac:dyDescent="0.25">
      <c r="A750" s="731"/>
      <c r="B750" s="733"/>
      <c r="C750" s="91" t="s">
        <v>988</v>
      </c>
      <c r="D750" s="52">
        <v>48582.91</v>
      </c>
      <c r="E750" s="105" t="s">
        <v>989</v>
      </c>
      <c r="F750" s="91" t="s">
        <v>990</v>
      </c>
      <c r="G750" s="52">
        <v>48582.91</v>
      </c>
      <c r="H750" s="75"/>
      <c r="I750" s="291">
        <v>42604</v>
      </c>
      <c r="J750" s="52">
        <v>48582.91</v>
      </c>
    </row>
    <row r="751" spans="1:10" ht="49.5" outlineLevel="1" x14ac:dyDescent="0.25">
      <c r="A751" s="731"/>
      <c r="B751" s="733"/>
      <c r="C751" s="116" t="s">
        <v>37</v>
      </c>
      <c r="D751" s="59">
        <v>96593.58</v>
      </c>
      <c r="E751" s="60" t="s">
        <v>559</v>
      </c>
      <c r="F751" s="60" t="s">
        <v>535</v>
      </c>
      <c r="G751" s="61">
        <f>81858.97*1.18</f>
        <v>96593.584600000002</v>
      </c>
      <c r="H751" s="62">
        <v>42458</v>
      </c>
      <c r="I751" s="62">
        <v>42408</v>
      </c>
      <c r="J751" s="63">
        <v>96593.58</v>
      </c>
    </row>
    <row r="752" spans="1:10" ht="17.25" outlineLevel="1" thickBot="1" x14ac:dyDescent="0.3">
      <c r="A752" s="686" t="s">
        <v>628</v>
      </c>
      <c r="B752" s="687"/>
      <c r="C752" s="156"/>
      <c r="D752" s="157">
        <f>SUM(D745:D751)</f>
        <v>5689697.2700000005</v>
      </c>
      <c r="E752" s="88"/>
      <c r="F752" s="88"/>
      <c r="G752" s="158">
        <f>SUM(G745:G751)</f>
        <v>6083460.7079537567</v>
      </c>
      <c r="H752" s="88"/>
      <c r="I752" s="231"/>
      <c r="J752" s="157">
        <f>SUM(J745:J751)</f>
        <v>5315743.4400000004</v>
      </c>
    </row>
    <row r="753" spans="1:10" s="4" customFormat="1" ht="33" x14ac:dyDescent="0.25">
      <c r="A753" s="734">
        <v>9</v>
      </c>
      <c r="B753" s="732" t="s">
        <v>187</v>
      </c>
      <c r="C753" s="70" t="s">
        <v>38</v>
      </c>
      <c r="D753" s="51">
        <v>616960.93000000005</v>
      </c>
      <c r="E753" s="70" t="s">
        <v>590</v>
      </c>
      <c r="F753" s="70" t="s">
        <v>589</v>
      </c>
      <c r="G753" s="148">
        <v>665199.33335375832</v>
      </c>
      <c r="H753" s="50">
        <v>42551</v>
      </c>
      <c r="I753" s="50">
        <v>42537</v>
      </c>
      <c r="J753" s="51">
        <v>616960.92999999993</v>
      </c>
    </row>
    <row r="754" spans="1:10" ht="33" outlineLevel="1" x14ac:dyDescent="0.25">
      <c r="A754" s="731"/>
      <c r="B754" s="733"/>
      <c r="C754" s="91" t="s">
        <v>34</v>
      </c>
      <c r="D754" s="52">
        <v>3495112.47</v>
      </c>
      <c r="E754" s="91" t="s">
        <v>656</v>
      </c>
      <c r="F754" s="91" t="s">
        <v>591</v>
      </c>
      <c r="G754" s="149">
        <v>3552551.66</v>
      </c>
      <c r="H754" s="75">
        <v>42612</v>
      </c>
      <c r="I754" s="75">
        <v>42592</v>
      </c>
      <c r="J754" s="52">
        <f>3495112.47-367782.54</f>
        <v>3127329.93</v>
      </c>
    </row>
    <row r="755" spans="1:10" ht="33" outlineLevel="1" x14ac:dyDescent="0.25">
      <c r="A755" s="731"/>
      <c r="B755" s="733"/>
      <c r="C755" s="91" t="s">
        <v>35</v>
      </c>
      <c r="D755" s="52">
        <v>465728.51</v>
      </c>
      <c r="E755" s="91" t="s">
        <v>656</v>
      </c>
      <c r="F755" s="91" t="s">
        <v>591</v>
      </c>
      <c r="G755" s="149">
        <v>540319.64</v>
      </c>
      <c r="H755" s="75">
        <v>42475</v>
      </c>
      <c r="I755" s="75">
        <v>42454</v>
      </c>
      <c r="J755" s="52">
        <v>465728.51</v>
      </c>
    </row>
    <row r="756" spans="1:10" ht="33" outlineLevel="1" x14ac:dyDescent="0.25">
      <c r="A756" s="731"/>
      <c r="B756" s="733"/>
      <c r="C756" s="91" t="s">
        <v>36</v>
      </c>
      <c r="D756" s="52">
        <v>331779.96999999997</v>
      </c>
      <c r="E756" s="91" t="s">
        <v>656</v>
      </c>
      <c r="F756" s="91" t="s">
        <v>591</v>
      </c>
      <c r="G756" s="149">
        <v>376554.52</v>
      </c>
      <c r="H756" s="75">
        <v>42475</v>
      </c>
      <c r="I756" s="75">
        <v>42454</v>
      </c>
      <c r="J756" s="52">
        <v>331779.96999999997</v>
      </c>
    </row>
    <row r="757" spans="1:10" ht="33" outlineLevel="1" x14ac:dyDescent="0.25">
      <c r="A757" s="731"/>
      <c r="B757" s="733"/>
      <c r="C757" s="91" t="s">
        <v>515</v>
      </c>
      <c r="D757" s="52">
        <v>766788.78</v>
      </c>
      <c r="E757" s="105" t="s">
        <v>689</v>
      </c>
      <c r="F757" s="91" t="s">
        <v>690</v>
      </c>
      <c r="G757" s="149">
        <v>792659.1</v>
      </c>
      <c r="H757" s="75">
        <v>42583</v>
      </c>
      <c r="I757" s="290">
        <v>42578</v>
      </c>
      <c r="J757" s="52">
        <v>766788.78000000014</v>
      </c>
    </row>
    <row r="758" spans="1:10" s="24" customFormat="1" ht="16.5" outlineLevel="1" x14ac:dyDescent="0.25">
      <c r="A758" s="731"/>
      <c r="B758" s="733"/>
      <c r="C758" s="91" t="s">
        <v>988</v>
      </c>
      <c r="D758" s="52">
        <v>48170.19</v>
      </c>
      <c r="E758" s="105" t="s">
        <v>989</v>
      </c>
      <c r="F758" s="91" t="s">
        <v>990</v>
      </c>
      <c r="G758" s="52">
        <v>48170.19</v>
      </c>
      <c r="H758" s="75"/>
      <c r="I758" s="291">
        <v>42604</v>
      </c>
      <c r="J758" s="52">
        <v>48170.19</v>
      </c>
    </row>
    <row r="759" spans="1:10" ht="49.5" outlineLevel="1" x14ac:dyDescent="0.25">
      <c r="A759" s="731"/>
      <c r="B759" s="733"/>
      <c r="C759" s="116" t="s">
        <v>37</v>
      </c>
      <c r="D759" s="59">
        <f>82413.31*1.18</f>
        <v>97247.705799999996</v>
      </c>
      <c r="E759" s="60" t="s">
        <v>559</v>
      </c>
      <c r="F759" s="60" t="s">
        <v>535</v>
      </c>
      <c r="G759" s="61">
        <f>82413.31*1.18</f>
        <v>97247.705799999996</v>
      </c>
      <c r="H759" s="62">
        <v>42458</v>
      </c>
      <c r="I759" s="62">
        <v>42408</v>
      </c>
      <c r="J759" s="63">
        <v>97247.71</v>
      </c>
    </row>
    <row r="760" spans="1:10" ht="17.25" outlineLevel="1" thickBot="1" x14ac:dyDescent="0.3">
      <c r="A760" s="686" t="s">
        <v>628</v>
      </c>
      <c r="B760" s="687"/>
      <c r="C760" s="156"/>
      <c r="D760" s="157">
        <f>SUM(D753:D759)</f>
        <v>5821788.5558000002</v>
      </c>
      <c r="E760" s="88"/>
      <c r="F760" s="88"/>
      <c r="G760" s="158">
        <f>SUM(G753:G759)</f>
        <v>6072702.1491537578</v>
      </c>
      <c r="H760" s="88"/>
      <c r="I760" s="231"/>
      <c r="J760" s="157">
        <f>SUM(J753:J759)</f>
        <v>5454006.0200000005</v>
      </c>
    </row>
    <row r="761" spans="1:10" s="4" customFormat="1" ht="33" x14ac:dyDescent="0.25">
      <c r="A761" s="785">
        <v>10</v>
      </c>
      <c r="B761" s="786" t="s">
        <v>188</v>
      </c>
      <c r="C761" s="70" t="s">
        <v>500</v>
      </c>
      <c r="D761" s="51">
        <v>9226670.2300000004</v>
      </c>
      <c r="E761" s="105" t="s">
        <v>789</v>
      </c>
      <c r="F761" s="70" t="s">
        <v>695</v>
      </c>
      <c r="G761" s="148">
        <v>12110980.560000001</v>
      </c>
      <c r="H761" s="50">
        <v>42561</v>
      </c>
      <c r="I761" s="50">
        <v>42561</v>
      </c>
      <c r="J761" s="51">
        <v>9226670.2300000004</v>
      </c>
    </row>
    <row r="762" spans="1:10" s="22" customFormat="1" ht="16.5" x14ac:dyDescent="0.25">
      <c r="A762" s="730"/>
      <c r="B762" s="735"/>
      <c r="C762" s="91" t="s">
        <v>988</v>
      </c>
      <c r="D762" s="52">
        <v>165875.45000000001</v>
      </c>
      <c r="E762" s="105" t="s">
        <v>989</v>
      </c>
      <c r="F762" s="91" t="s">
        <v>990</v>
      </c>
      <c r="G762" s="52">
        <v>165875.45000000001</v>
      </c>
      <c r="H762" s="75"/>
      <c r="I762" s="291">
        <v>42604</v>
      </c>
      <c r="J762" s="52">
        <v>165875.45000000001</v>
      </c>
    </row>
    <row r="763" spans="1:10" ht="17.25" outlineLevel="1" thickBot="1" x14ac:dyDescent="0.3">
      <c r="A763" s="724" t="s">
        <v>628</v>
      </c>
      <c r="B763" s="725"/>
      <c r="C763" s="164"/>
      <c r="D763" s="157">
        <f>SUM(D761:D762)</f>
        <v>9392545.6799999997</v>
      </c>
      <c r="E763" s="90"/>
      <c r="F763" s="90"/>
      <c r="G763" s="158">
        <f>SUM(G761:G762)</f>
        <v>12276856.01</v>
      </c>
      <c r="H763" s="90"/>
      <c r="I763" s="108"/>
      <c r="J763" s="157">
        <f>SUM(J761:J762)</f>
        <v>9392545.6799999997</v>
      </c>
    </row>
    <row r="764" spans="1:10" s="4" customFormat="1" ht="33" x14ac:dyDescent="0.25">
      <c r="A764" s="734">
        <v>11</v>
      </c>
      <c r="B764" s="732" t="s">
        <v>513</v>
      </c>
      <c r="C764" s="70" t="s">
        <v>500</v>
      </c>
      <c r="D764" s="51">
        <v>6982379.6500000004</v>
      </c>
      <c r="E764" s="70" t="s">
        <v>976</v>
      </c>
      <c r="F764" s="70" t="s">
        <v>695</v>
      </c>
      <c r="G764" s="148">
        <v>9393107.8399999999</v>
      </c>
      <c r="H764" s="50">
        <v>42662</v>
      </c>
      <c r="I764" s="50">
        <v>42656</v>
      </c>
      <c r="J764" s="51">
        <v>6982379.6500000004</v>
      </c>
    </row>
    <row r="765" spans="1:10" ht="49.5" outlineLevel="1" x14ac:dyDescent="0.25">
      <c r="A765" s="731"/>
      <c r="B765" s="733"/>
      <c r="C765" s="150" t="s">
        <v>37</v>
      </c>
      <c r="D765" s="151">
        <f>88052.26*1.18</f>
        <v>103901.66679999999</v>
      </c>
      <c r="E765" s="152" t="s">
        <v>559</v>
      </c>
      <c r="F765" s="152" t="s">
        <v>535</v>
      </c>
      <c r="G765" s="153">
        <f>88052.26*1.18</f>
        <v>103901.66679999999</v>
      </c>
      <c r="H765" s="154">
        <v>42458</v>
      </c>
      <c r="I765" s="154">
        <v>42496</v>
      </c>
      <c r="J765" s="155">
        <v>103901.67000000001</v>
      </c>
    </row>
    <row r="766" spans="1:10" ht="17.25" outlineLevel="1" thickBot="1" x14ac:dyDescent="0.3">
      <c r="A766" s="686" t="s">
        <v>628</v>
      </c>
      <c r="B766" s="687"/>
      <c r="C766" s="156"/>
      <c r="D766" s="157">
        <f>SUM(D764:D765)</f>
        <v>7086281.3168000001</v>
      </c>
      <c r="E766" s="88"/>
      <c r="F766" s="88"/>
      <c r="G766" s="158">
        <f>SUM(G764:G765)</f>
        <v>9497009.5067999996</v>
      </c>
      <c r="H766" s="88"/>
      <c r="I766" s="130"/>
      <c r="J766" s="157">
        <f t="shared" ref="J766" si="3">SUM(J764:J765)</f>
        <v>7086281.3200000003</v>
      </c>
    </row>
    <row r="767" spans="1:10" s="4" customFormat="1" ht="33" x14ac:dyDescent="0.25">
      <c r="A767" s="785">
        <v>12</v>
      </c>
      <c r="B767" s="786" t="s">
        <v>189</v>
      </c>
      <c r="C767" s="70" t="s">
        <v>500</v>
      </c>
      <c r="D767" s="51">
        <v>10636888.560000001</v>
      </c>
      <c r="E767" s="105" t="s">
        <v>788</v>
      </c>
      <c r="F767" s="70" t="s">
        <v>695</v>
      </c>
      <c r="G767" s="148">
        <v>14744658.26</v>
      </c>
      <c r="H767" s="50">
        <v>42561</v>
      </c>
      <c r="I767" s="50">
        <v>42561</v>
      </c>
      <c r="J767" s="51">
        <v>10636888.560000001</v>
      </c>
    </row>
    <row r="768" spans="1:10" s="22" customFormat="1" ht="16.5" x14ac:dyDescent="0.25">
      <c r="A768" s="730"/>
      <c r="B768" s="735"/>
      <c r="C768" s="91" t="s">
        <v>988</v>
      </c>
      <c r="D768" s="52">
        <v>201947.04</v>
      </c>
      <c r="E768" s="105" t="s">
        <v>989</v>
      </c>
      <c r="F768" s="91" t="s">
        <v>990</v>
      </c>
      <c r="G768" s="52">
        <v>201947.04</v>
      </c>
      <c r="H768" s="75"/>
      <c r="I768" s="291">
        <v>42604</v>
      </c>
      <c r="J768" s="52">
        <v>201947.04</v>
      </c>
    </row>
    <row r="769" spans="1:10" ht="17.25" outlineLevel="1" thickBot="1" x14ac:dyDescent="0.3">
      <c r="A769" s="686" t="s">
        <v>628</v>
      </c>
      <c r="B769" s="687"/>
      <c r="C769" s="156"/>
      <c r="D769" s="157">
        <f>SUM(D767:D768)</f>
        <v>10838835.6</v>
      </c>
      <c r="E769" s="88"/>
      <c r="F769" s="88"/>
      <c r="G769" s="158">
        <f>SUM(G767:G768)</f>
        <v>14946605.299999999</v>
      </c>
      <c r="H769" s="88"/>
      <c r="I769" s="130"/>
      <c r="J769" s="157">
        <f>SUM(J767:J768)</f>
        <v>10838835.6</v>
      </c>
    </row>
    <row r="770" spans="1:10" s="4" customFormat="1" ht="33" x14ac:dyDescent="0.25">
      <c r="A770" s="734">
        <v>13</v>
      </c>
      <c r="B770" s="732" t="s">
        <v>205</v>
      </c>
      <c r="C770" s="70" t="s">
        <v>500</v>
      </c>
      <c r="D770" s="51">
        <v>4799775.29</v>
      </c>
      <c r="E770" s="70" t="s">
        <v>976</v>
      </c>
      <c r="F770" s="70" t="s">
        <v>695</v>
      </c>
      <c r="G770" s="148">
        <v>6097391.6600000001</v>
      </c>
      <c r="H770" s="50">
        <v>42662</v>
      </c>
      <c r="I770" s="50">
        <v>42656</v>
      </c>
      <c r="J770" s="51">
        <v>4799775.29</v>
      </c>
    </row>
    <row r="771" spans="1:10" ht="49.5" outlineLevel="1" x14ac:dyDescent="0.25">
      <c r="A771" s="731"/>
      <c r="B771" s="733"/>
      <c r="C771" s="150" t="s">
        <v>37</v>
      </c>
      <c r="D771" s="151">
        <f>86727.74*1.18</f>
        <v>102338.7332</v>
      </c>
      <c r="E771" s="152" t="s">
        <v>559</v>
      </c>
      <c r="F771" s="152" t="s">
        <v>535</v>
      </c>
      <c r="G771" s="153">
        <f>86727.74*1.18</f>
        <v>102338.7332</v>
      </c>
      <c r="H771" s="154">
        <v>42458</v>
      </c>
      <c r="I771" s="154">
        <v>42496</v>
      </c>
      <c r="J771" s="155">
        <v>102338.73</v>
      </c>
    </row>
    <row r="772" spans="1:10" ht="17.25" outlineLevel="1" thickBot="1" x14ac:dyDescent="0.3">
      <c r="A772" s="686" t="s">
        <v>628</v>
      </c>
      <c r="B772" s="687"/>
      <c r="C772" s="156"/>
      <c r="D772" s="157">
        <f>SUM(D770:D771)</f>
        <v>4902114.0231999997</v>
      </c>
      <c r="E772" s="88"/>
      <c r="F772" s="88"/>
      <c r="G772" s="158">
        <f>SUM(G770:G771)</f>
        <v>6199730.3931999998</v>
      </c>
      <c r="H772" s="88"/>
      <c r="I772" s="130"/>
      <c r="J772" s="157">
        <f t="shared" ref="J772" si="4">SUM(J770:J771)</f>
        <v>4902114.0200000005</v>
      </c>
    </row>
    <row r="773" spans="1:10" s="4" customFormat="1" ht="33" x14ac:dyDescent="0.25">
      <c r="A773" s="734">
        <v>14</v>
      </c>
      <c r="B773" s="732" t="s">
        <v>207</v>
      </c>
      <c r="C773" s="70" t="s">
        <v>500</v>
      </c>
      <c r="D773" s="51">
        <v>9416605.3200000003</v>
      </c>
      <c r="E773" s="70" t="s">
        <v>963</v>
      </c>
      <c r="F773" s="70" t="s">
        <v>592</v>
      </c>
      <c r="G773" s="148">
        <v>9416605.3200000003</v>
      </c>
      <c r="H773" s="50">
        <v>42660</v>
      </c>
      <c r="I773" s="50">
        <v>42676</v>
      </c>
      <c r="J773" s="51">
        <v>5906673.29</v>
      </c>
    </row>
    <row r="774" spans="1:10" ht="49.5" outlineLevel="1" x14ac:dyDescent="0.25">
      <c r="A774" s="731"/>
      <c r="B774" s="733"/>
      <c r="C774" s="150" t="s">
        <v>37</v>
      </c>
      <c r="D774" s="151">
        <f>93075.82*1.18</f>
        <v>109829.4676</v>
      </c>
      <c r="E774" s="152" t="s">
        <v>559</v>
      </c>
      <c r="F774" s="152" t="s">
        <v>535</v>
      </c>
      <c r="G774" s="153">
        <f>93075.82*1.18</f>
        <v>109829.4676</v>
      </c>
      <c r="H774" s="154">
        <v>42458</v>
      </c>
      <c r="I774" s="154">
        <v>42496</v>
      </c>
      <c r="J774" s="155">
        <v>109829.47</v>
      </c>
    </row>
    <row r="775" spans="1:10" ht="17.25" outlineLevel="1" thickBot="1" x14ac:dyDescent="0.3">
      <c r="A775" s="724" t="s">
        <v>628</v>
      </c>
      <c r="B775" s="725"/>
      <c r="C775" s="164"/>
      <c r="D775" s="165">
        <f>SUM(D773:D774)</f>
        <v>9526434.7875999995</v>
      </c>
      <c r="E775" s="90"/>
      <c r="F775" s="90"/>
      <c r="G775" s="166">
        <f>SUM(G773:G774)</f>
        <v>9526434.7875999995</v>
      </c>
      <c r="H775" s="90"/>
      <c r="I775" s="108"/>
      <c r="J775" s="165">
        <f t="shared" ref="J775" si="5">SUM(J773:J774)</f>
        <v>6016502.7599999998</v>
      </c>
    </row>
    <row r="776" spans="1:10" ht="34.5" customHeight="1" outlineLevel="1" x14ac:dyDescent="0.25">
      <c r="A776" s="175">
        <v>15</v>
      </c>
      <c r="B776" s="176" t="s">
        <v>1006</v>
      </c>
      <c r="C776" s="70" t="s">
        <v>500</v>
      </c>
      <c r="D776" s="51">
        <v>3592855.74</v>
      </c>
      <c r="E776" s="70" t="s">
        <v>1155</v>
      </c>
      <c r="F776" s="70" t="s">
        <v>870</v>
      </c>
      <c r="G776" s="51">
        <v>3575000</v>
      </c>
      <c r="H776" s="50">
        <v>42731</v>
      </c>
      <c r="I776" s="50">
        <v>42692</v>
      </c>
      <c r="J776" s="51">
        <v>3113086.44</v>
      </c>
    </row>
    <row r="777" spans="1:10" ht="17.25" outlineLevel="1" thickBot="1" x14ac:dyDescent="0.3">
      <c r="A777" s="686" t="s">
        <v>628</v>
      </c>
      <c r="B777" s="687"/>
      <c r="C777" s="156"/>
      <c r="D777" s="157">
        <f>SUM(D776:D776)</f>
        <v>3592855.74</v>
      </c>
      <c r="E777" s="88"/>
      <c r="F777" s="88"/>
      <c r="G777" s="157">
        <f>G776</f>
        <v>3575000</v>
      </c>
      <c r="H777" s="88"/>
      <c r="I777" s="130"/>
      <c r="J777" s="157">
        <f>SUM(J776:J776)</f>
        <v>3113086.44</v>
      </c>
    </row>
    <row r="778" spans="1:10" s="4" customFormat="1" ht="33" x14ac:dyDescent="0.25">
      <c r="A778" s="730">
        <v>16</v>
      </c>
      <c r="B778" s="735" t="s">
        <v>208</v>
      </c>
      <c r="C778" s="105" t="s">
        <v>500</v>
      </c>
      <c r="D778" s="107">
        <v>5835575.4699999997</v>
      </c>
      <c r="E778" s="105" t="s">
        <v>964</v>
      </c>
      <c r="F778" s="105" t="s">
        <v>870</v>
      </c>
      <c r="G778" s="226">
        <v>9358620.2100000009</v>
      </c>
      <c r="H778" s="76">
        <v>42673</v>
      </c>
      <c r="I778" s="76">
        <v>42656</v>
      </c>
      <c r="J778" s="107">
        <v>5835575.4699999997</v>
      </c>
    </row>
    <row r="779" spans="1:10" ht="49.5" outlineLevel="1" x14ac:dyDescent="0.25">
      <c r="A779" s="731"/>
      <c r="B779" s="733"/>
      <c r="C779" s="150" t="s">
        <v>37</v>
      </c>
      <c r="D779" s="151">
        <f>96571.26*1.18</f>
        <v>113954.08679999999</v>
      </c>
      <c r="E779" s="152" t="s">
        <v>559</v>
      </c>
      <c r="F779" s="152" t="s">
        <v>535</v>
      </c>
      <c r="G779" s="153">
        <f>96571.26*1.18</f>
        <v>113954.08679999999</v>
      </c>
      <c r="H779" s="154">
        <v>42458</v>
      </c>
      <c r="I779" s="154">
        <v>42496</v>
      </c>
      <c r="J779" s="155">
        <v>113954.09</v>
      </c>
    </row>
    <row r="780" spans="1:10" ht="17.25" outlineLevel="1" thickBot="1" x14ac:dyDescent="0.3">
      <c r="A780" s="686" t="s">
        <v>628</v>
      </c>
      <c r="B780" s="687"/>
      <c r="C780" s="156"/>
      <c r="D780" s="157">
        <f>SUM(D778:D779)</f>
        <v>5949529.5567999994</v>
      </c>
      <c r="E780" s="88"/>
      <c r="F780" s="88"/>
      <c r="G780" s="158">
        <f>SUM(G778:G779)</f>
        <v>9472574.2968000006</v>
      </c>
      <c r="H780" s="88"/>
      <c r="I780" s="130"/>
      <c r="J780" s="157">
        <f t="shared" ref="J780" si="6">SUM(J778:J779)</f>
        <v>5949529.5599999996</v>
      </c>
    </row>
    <row r="781" spans="1:10" s="4" customFormat="1" ht="33" x14ac:dyDescent="0.25">
      <c r="A781" s="734">
        <v>17</v>
      </c>
      <c r="B781" s="732" t="s">
        <v>204</v>
      </c>
      <c r="C781" s="70" t="s">
        <v>500</v>
      </c>
      <c r="D781" s="51">
        <v>7935190.8399999999</v>
      </c>
      <c r="E781" s="70" t="s">
        <v>963</v>
      </c>
      <c r="F781" s="70" t="s">
        <v>592</v>
      </c>
      <c r="G781" s="148">
        <v>7935190.8399999999</v>
      </c>
      <c r="H781" s="50">
        <v>42660</v>
      </c>
      <c r="I781" s="50">
        <v>42676</v>
      </c>
      <c r="J781" s="51">
        <v>4956019.72</v>
      </c>
    </row>
    <row r="782" spans="1:10" ht="49.5" outlineLevel="1" x14ac:dyDescent="0.25">
      <c r="A782" s="731"/>
      <c r="B782" s="733"/>
      <c r="C782" s="150" t="s">
        <v>37</v>
      </c>
      <c r="D782" s="151">
        <f>95360.93*1.18</f>
        <v>112525.89739999999</v>
      </c>
      <c r="E782" s="152" t="s">
        <v>559</v>
      </c>
      <c r="F782" s="152" t="s">
        <v>535</v>
      </c>
      <c r="G782" s="153">
        <f>95360.93*1.18</f>
        <v>112525.89739999999</v>
      </c>
      <c r="H782" s="154">
        <v>42458</v>
      </c>
      <c r="I782" s="154">
        <v>42496</v>
      </c>
      <c r="J782" s="155">
        <v>112525.9</v>
      </c>
    </row>
    <row r="783" spans="1:10" ht="17.25" outlineLevel="1" thickBot="1" x14ac:dyDescent="0.3">
      <c r="A783" s="686" t="s">
        <v>628</v>
      </c>
      <c r="B783" s="687"/>
      <c r="C783" s="156"/>
      <c r="D783" s="157">
        <f>SUM(D781:D782)</f>
        <v>8047716.7374</v>
      </c>
      <c r="E783" s="88"/>
      <c r="F783" s="88"/>
      <c r="G783" s="158">
        <f>SUM(G781:G782)</f>
        <v>8047716.7374</v>
      </c>
      <c r="H783" s="88"/>
      <c r="I783" s="130"/>
      <c r="J783" s="157">
        <f t="shared" ref="J783" si="7">SUM(J781:J782)</f>
        <v>5068545.62</v>
      </c>
    </row>
    <row r="784" spans="1:10" s="4" customFormat="1" ht="33" x14ac:dyDescent="0.25">
      <c r="A784" s="734">
        <v>18</v>
      </c>
      <c r="B784" s="732" t="s">
        <v>209</v>
      </c>
      <c r="C784" s="70" t="s">
        <v>500</v>
      </c>
      <c r="D784" s="51">
        <v>3945635.12</v>
      </c>
      <c r="E784" s="70" t="s">
        <v>964</v>
      </c>
      <c r="F784" s="70" t="s">
        <v>870</v>
      </c>
      <c r="G784" s="148">
        <v>3575000</v>
      </c>
      <c r="H784" s="50">
        <v>42731</v>
      </c>
      <c r="I784" s="50">
        <v>42656</v>
      </c>
      <c r="J784" s="51">
        <v>3945635.12</v>
      </c>
    </row>
    <row r="785" spans="1:10" ht="49.5" outlineLevel="1" x14ac:dyDescent="0.25">
      <c r="A785" s="731"/>
      <c r="B785" s="733"/>
      <c r="C785" s="150" t="s">
        <v>37</v>
      </c>
      <c r="D785" s="151">
        <f>81088.68*1.18</f>
        <v>95684.642399999982</v>
      </c>
      <c r="E785" s="152" t="s">
        <v>559</v>
      </c>
      <c r="F785" s="152" t="s">
        <v>535</v>
      </c>
      <c r="G785" s="153">
        <f>81088.68*1.18</f>
        <v>95684.642399999982</v>
      </c>
      <c r="H785" s="154">
        <v>42458</v>
      </c>
      <c r="I785" s="154">
        <v>42496</v>
      </c>
      <c r="J785" s="155">
        <v>95684.64</v>
      </c>
    </row>
    <row r="786" spans="1:10" ht="17.25" outlineLevel="1" thickBot="1" x14ac:dyDescent="0.3">
      <c r="A786" s="686" t="s">
        <v>628</v>
      </c>
      <c r="B786" s="687"/>
      <c r="C786" s="156"/>
      <c r="D786" s="157">
        <f>SUM(D784:D785)</f>
        <v>4041319.7623999999</v>
      </c>
      <c r="E786" s="88"/>
      <c r="F786" s="88"/>
      <c r="G786" s="158">
        <f>SUM(G784:G785)</f>
        <v>3670684.6423999998</v>
      </c>
      <c r="H786" s="88"/>
      <c r="I786" s="130"/>
      <c r="J786" s="157">
        <f t="shared" ref="J786" si="8">SUM(J784:J785)</f>
        <v>4041319.7600000002</v>
      </c>
    </row>
    <row r="787" spans="1:10" s="22" customFormat="1" ht="45" customHeight="1" x14ac:dyDescent="0.25">
      <c r="A787" s="544">
        <v>19</v>
      </c>
      <c r="B787" s="545" t="s">
        <v>190</v>
      </c>
      <c r="C787" s="70" t="s">
        <v>500</v>
      </c>
      <c r="D787" s="51">
        <v>5994434.9000000004</v>
      </c>
      <c r="E787" s="70" t="s">
        <v>869</v>
      </c>
      <c r="F787" s="70" t="s">
        <v>870</v>
      </c>
      <c r="G787" s="148">
        <v>7550000</v>
      </c>
      <c r="H787" s="50">
        <v>42613</v>
      </c>
      <c r="I787" s="50">
        <v>42564</v>
      </c>
      <c r="J787" s="51">
        <v>5994434.9000000004</v>
      </c>
    </row>
    <row r="788" spans="1:10" ht="17.25" outlineLevel="1" thickBot="1" x14ac:dyDescent="0.3">
      <c r="A788" s="724" t="s">
        <v>628</v>
      </c>
      <c r="B788" s="725"/>
      <c r="C788" s="164"/>
      <c r="D788" s="157">
        <f>SUM(D787:D787)</f>
        <v>5994434.9000000004</v>
      </c>
      <c r="E788" s="90"/>
      <c r="F788" s="90"/>
      <c r="G788" s="158">
        <f>SUM(G787:G787)</f>
        <v>7550000</v>
      </c>
      <c r="H788" s="90"/>
      <c r="I788" s="108"/>
      <c r="J788" s="157">
        <f>SUM(J787:J787)</f>
        <v>5994434.9000000004</v>
      </c>
    </row>
    <row r="789" spans="1:10" s="4" customFormat="1" ht="33" x14ac:dyDescent="0.25">
      <c r="A789" s="734">
        <v>20</v>
      </c>
      <c r="B789" s="732" t="s">
        <v>206</v>
      </c>
      <c r="C789" s="70" t="s">
        <v>500</v>
      </c>
      <c r="D789" s="51">
        <v>3812177</v>
      </c>
      <c r="E789" s="70" t="s">
        <v>871</v>
      </c>
      <c r="F789" s="70" t="s">
        <v>592</v>
      </c>
      <c r="G789" s="148">
        <v>6071247.5</v>
      </c>
      <c r="H789" s="50">
        <v>42593</v>
      </c>
      <c r="I789" s="50">
        <v>42592</v>
      </c>
      <c r="J789" s="51">
        <v>3812177</v>
      </c>
    </row>
    <row r="790" spans="1:10" ht="49.5" outlineLevel="1" x14ac:dyDescent="0.25">
      <c r="A790" s="731"/>
      <c r="B790" s="733"/>
      <c r="C790" s="150" t="s">
        <v>37</v>
      </c>
      <c r="D790" s="151">
        <f>95418.7*1.18</f>
        <v>112594.06599999999</v>
      </c>
      <c r="E790" s="152" t="s">
        <v>559</v>
      </c>
      <c r="F790" s="152" t="s">
        <v>535</v>
      </c>
      <c r="G790" s="153">
        <f>95418.7*1.18</f>
        <v>112594.06599999999</v>
      </c>
      <c r="H790" s="154">
        <v>42458</v>
      </c>
      <c r="I790" s="154">
        <v>42496</v>
      </c>
      <c r="J790" s="155">
        <v>112594.07</v>
      </c>
    </row>
    <row r="791" spans="1:10" ht="17.25" outlineLevel="1" thickBot="1" x14ac:dyDescent="0.3">
      <c r="A791" s="686" t="s">
        <v>628</v>
      </c>
      <c r="B791" s="687"/>
      <c r="C791" s="156"/>
      <c r="D791" s="157">
        <f>SUM(D789:D790)</f>
        <v>3924771.0660000001</v>
      </c>
      <c r="E791" s="88"/>
      <c r="F791" s="88"/>
      <c r="G791" s="158">
        <f>SUM(G789:G790)</f>
        <v>6183841.5659999996</v>
      </c>
      <c r="H791" s="88"/>
      <c r="I791" s="130"/>
      <c r="J791" s="157">
        <f t="shared" ref="J791" si="9">SUM(J789:J790)</f>
        <v>3924771.07</v>
      </c>
    </row>
    <row r="792" spans="1:10" s="4" customFormat="1" ht="33" x14ac:dyDescent="0.25">
      <c r="A792" s="734">
        <v>21</v>
      </c>
      <c r="B792" s="732" t="s">
        <v>203</v>
      </c>
      <c r="C792" s="70" t="s">
        <v>500</v>
      </c>
      <c r="D792" s="51">
        <v>4259504.4400000004</v>
      </c>
      <c r="E792" s="70" t="s">
        <v>841</v>
      </c>
      <c r="F792" s="70" t="s">
        <v>593</v>
      </c>
      <c r="G792" s="148">
        <v>6069000</v>
      </c>
      <c r="H792" s="50">
        <v>42602</v>
      </c>
      <c r="I792" s="50">
        <v>42591</v>
      </c>
      <c r="J792" s="51">
        <v>4259504.4400000004</v>
      </c>
    </row>
    <row r="793" spans="1:10" ht="49.5" outlineLevel="1" x14ac:dyDescent="0.25">
      <c r="A793" s="731"/>
      <c r="B793" s="733"/>
      <c r="C793" s="150" t="s">
        <v>37</v>
      </c>
      <c r="D793" s="151">
        <f>85095.15*1.18</f>
        <v>100412.27699999999</v>
      </c>
      <c r="E793" s="152" t="s">
        <v>559</v>
      </c>
      <c r="F793" s="152" t="s">
        <v>536</v>
      </c>
      <c r="G793" s="153">
        <f>85095.15*1.18</f>
        <v>100412.27699999999</v>
      </c>
      <c r="H793" s="154">
        <v>42458</v>
      </c>
      <c r="I793" s="154">
        <v>42496</v>
      </c>
      <c r="J793" s="155">
        <v>100412.28</v>
      </c>
    </row>
    <row r="794" spans="1:10" ht="17.25" outlineLevel="1" thickBot="1" x14ac:dyDescent="0.3">
      <c r="A794" s="724" t="s">
        <v>628</v>
      </c>
      <c r="B794" s="725"/>
      <c r="C794" s="164"/>
      <c r="D794" s="157">
        <f>SUM(D792:D793)</f>
        <v>4359916.7170000002</v>
      </c>
      <c r="E794" s="90"/>
      <c r="F794" s="90"/>
      <c r="G794" s="158">
        <f>SUM(G792:G793)</f>
        <v>6169412.2769999998</v>
      </c>
      <c r="H794" s="90"/>
      <c r="I794" s="108"/>
      <c r="J794" s="157">
        <f t="shared" ref="J794" si="10">SUM(J792:J793)</f>
        <v>4359916.7200000007</v>
      </c>
    </row>
    <row r="795" spans="1:10" s="22" customFormat="1" ht="30" customHeight="1" x14ac:dyDescent="0.25">
      <c r="A795" s="734">
        <v>22</v>
      </c>
      <c r="B795" s="732" t="s">
        <v>18</v>
      </c>
      <c r="C795" s="70" t="s">
        <v>500</v>
      </c>
      <c r="D795" s="51">
        <v>4362451.74</v>
      </c>
      <c r="E795" s="70" t="s">
        <v>1035</v>
      </c>
      <c r="F795" s="70" t="s">
        <v>695</v>
      </c>
      <c r="G795" s="148">
        <v>4340639.4800000004</v>
      </c>
      <c r="H795" s="292"/>
      <c r="I795" s="50">
        <v>42720</v>
      </c>
      <c r="J795" s="51">
        <v>4126301.88</v>
      </c>
    </row>
    <row r="796" spans="1:10" ht="49.5" outlineLevel="1" x14ac:dyDescent="0.25">
      <c r="A796" s="731"/>
      <c r="B796" s="733"/>
      <c r="C796" s="150" t="s">
        <v>37</v>
      </c>
      <c r="D796" s="151">
        <v>90987.919999999984</v>
      </c>
      <c r="E796" s="152" t="s">
        <v>559</v>
      </c>
      <c r="F796" s="152" t="s">
        <v>535</v>
      </c>
      <c r="G796" s="153">
        <f>77108.42*1.18</f>
        <v>90987.935599999997</v>
      </c>
      <c r="H796" s="154">
        <v>42458</v>
      </c>
      <c r="I796" s="154">
        <v>42496</v>
      </c>
      <c r="J796" s="155">
        <v>90987.919999999984</v>
      </c>
    </row>
    <row r="797" spans="1:10" ht="17.25" outlineLevel="1" thickBot="1" x14ac:dyDescent="0.3">
      <c r="A797" s="686" t="s">
        <v>628</v>
      </c>
      <c r="B797" s="687"/>
      <c r="C797" s="156"/>
      <c r="D797" s="157">
        <f>SUM(D795:D796)</f>
        <v>4453439.66</v>
      </c>
      <c r="E797" s="88"/>
      <c r="F797" s="88"/>
      <c r="G797" s="158">
        <f>SUM(G795:G796)</f>
        <v>4431627.4156000009</v>
      </c>
      <c r="H797" s="88"/>
      <c r="I797" s="130"/>
      <c r="J797" s="157">
        <f t="shared" ref="J797" si="11">SUM(J795:J796)</f>
        <v>4217289.8</v>
      </c>
    </row>
    <row r="798" spans="1:10" s="4" customFormat="1" ht="38.25" customHeight="1" x14ac:dyDescent="0.25">
      <c r="A798" s="175">
        <v>23</v>
      </c>
      <c r="B798" s="176" t="s">
        <v>191</v>
      </c>
      <c r="C798" s="70" t="s">
        <v>501</v>
      </c>
      <c r="D798" s="51">
        <v>14450000</v>
      </c>
      <c r="E798" s="70" t="s">
        <v>889</v>
      </c>
      <c r="F798" s="70" t="s">
        <v>870</v>
      </c>
      <c r="G798" s="148">
        <v>12450000</v>
      </c>
      <c r="H798" s="50">
        <v>42704</v>
      </c>
      <c r="I798" s="50">
        <v>42720</v>
      </c>
      <c r="J798" s="51">
        <v>10739194.41</v>
      </c>
    </row>
    <row r="799" spans="1:10" ht="17.25" outlineLevel="1" thickBot="1" x14ac:dyDescent="0.3">
      <c r="A799" s="686" t="s">
        <v>628</v>
      </c>
      <c r="B799" s="687"/>
      <c r="C799" s="156"/>
      <c r="D799" s="157">
        <f>SUM(D798:D798)</f>
        <v>14450000</v>
      </c>
      <c r="E799" s="65"/>
      <c r="F799" s="65"/>
      <c r="G799" s="158">
        <f>SUM(G798:G798)</f>
        <v>12450000</v>
      </c>
      <c r="H799" s="65"/>
      <c r="I799" s="67"/>
      <c r="J799" s="157">
        <f>SUM(J798:J798)</f>
        <v>10739194.41</v>
      </c>
    </row>
    <row r="800" spans="1:10" s="4" customFormat="1" ht="33" x14ac:dyDescent="0.25">
      <c r="A800" s="734">
        <v>24</v>
      </c>
      <c r="B800" s="732" t="s">
        <v>192</v>
      </c>
      <c r="C800" s="70" t="s">
        <v>38</v>
      </c>
      <c r="D800" s="51">
        <v>480778</v>
      </c>
      <c r="E800" s="70" t="s">
        <v>590</v>
      </c>
      <c r="F800" s="70" t="s">
        <v>589</v>
      </c>
      <c r="G800" s="148">
        <v>529960.17248546553</v>
      </c>
      <c r="H800" s="50">
        <v>42551</v>
      </c>
      <c r="I800" s="50">
        <v>42495</v>
      </c>
      <c r="J800" s="51">
        <v>480778</v>
      </c>
    </row>
    <row r="801" spans="1:10" ht="33" outlineLevel="1" x14ac:dyDescent="0.25">
      <c r="A801" s="731"/>
      <c r="B801" s="733"/>
      <c r="C801" s="91" t="s">
        <v>34</v>
      </c>
      <c r="D801" s="52">
        <v>2411728.04</v>
      </c>
      <c r="E801" s="91" t="s">
        <v>657</v>
      </c>
      <c r="F801" s="91" t="s">
        <v>591</v>
      </c>
      <c r="G801" s="149">
        <v>2452679.56</v>
      </c>
      <c r="H801" s="75">
        <v>42551</v>
      </c>
      <c r="I801" s="75">
        <v>42543</v>
      </c>
      <c r="J801" s="52">
        <f>2411728.04-72329.22</f>
        <v>2339398.8199999998</v>
      </c>
    </row>
    <row r="802" spans="1:10" ht="33" outlineLevel="1" x14ac:dyDescent="0.25">
      <c r="A802" s="731"/>
      <c r="B802" s="733"/>
      <c r="C802" s="91" t="s">
        <v>35</v>
      </c>
      <c r="D802" s="52">
        <v>244084.24</v>
      </c>
      <c r="E802" s="91" t="s">
        <v>657</v>
      </c>
      <c r="F802" s="91" t="s">
        <v>591</v>
      </c>
      <c r="G802" s="149">
        <v>281459.5</v>
      </c>
      <c r="H802" s="75">
        <v>42415</v>
      </c>
      <c r="I802" s="75">
        <v>42415</v>
      </c>
      <c r="J802" s="52">
        <v>244084.24</v>
      </c>
    </row>
    <row r="803" spans="1:10" ht="33" outlineLevel="1" x14ac:dyDescent="0.25">
      <c r="A803" s="731"/>
      <c r="B803" s="733"/>
      <c r="C803" s="91" t="s">
        <v>36</v>
      </c>
      <c r="D803" s="52">
        <v>285034.46000000002</v>
      </c>
      <c r="E803" s="91" t="s">
        <v>657</v>
      </c>
      <c r="F803" s="91" t="s">
        <v>591</v>
      </c>
      <c r="G803" s="149">
        <v>293576.92</v>
      </c>
      <c r="H803" s="75">
        <v>42429</v>
      </c>
      <c r="I803" s="75">
        <v>42415</v>
      </c>
      <c r="J803" s="52">
        <v>285034.45999999996</v>
      </c>
    </row>
    <row r="804" spans="1:10" ht="33" outlineLevel="1" x14ac:dyDescent="0.25">
      <c r="A804" s="731"/>
      <c r="B804" s="733"/>
      <c r="C804" s="91" t="s">
        <v>500</v>
      </c>
      <c r="D804" s="52">
        <v>3813873.95</v>
      </c>
      <c r="E804" s="91" t="s">
        <v>594</v>
      </c>
      <c r="F804" s="91" t="s">
        <v>589</v>
      </c>
      <c r="G804" s="149">
        <v>4391914.3770757588</v>
      </c>
      <c r="H804" s="75">
        <v>42459</v>
      </c>
      <c r="I804" s="75">
        <v>42459</v>
      </c>
      <c r="J804" s="52">
        <v>3813873.95</v>
      </c>
    </row>
    <row r="805" spans="1:10" ht="33" outlineLevel="1" x14ac:dyDescent="0.25">
      <c r="A805" s="731"/>
      <c r="B805" s="733"/>
      <c r="C805" s="91" t="s">
        <v>501</v>
      </c>
      <c r="D805" s="52">
        <v>4683392.96</v>
      </c>
      <c r="E805" s="91" t="s">
        <v>594</v>
      </c>
      <c r="F805" s="91" t="s">
        <v>589</v>
      </c>
      <c r="G805" s="149">
        <v>5188841.9996417761</v>
      </c>
      <c r="H805" s="75">
        <v>42551</v>
      </c>
      <c r="I805" s="75">
        <v>42535</v>
      </c>
      <c r="J805" s="52">
        <v>4683392.96</v>
      </c>
    </row>
    <row r="806" spans="1:10" ht="33" outlineLevel="1" x14ac:dyDescent="0.25">
      <c r="A806" s="731"/>
      <c r="B806" s="733"/>
      <c r="C806" s="91" t="s">
        <v>515</v>
      </c>
      <c r="D806" s="52">
        <v>740323.74</v>
      </c>
      <c r="E806" s="105" t="s">
        <v>689</v>
      </c>
      <c r="F806" s="91" t="s">
        <v>690</v>
      </c>
      <c r="G806" s="149">
        <v>776412.86</v>
      </c>
      <c r="H806" s="75">
        <v>42583</v>
      </c>
      <c r="I806" s="75">
        <v>42551</v>
      </c>
      <c r="J806" s="52">
        <v>740323.74</v>
      </c>
    </row>
    <row r="807" spans="1:10" s="24" customFormat="1" ht="16.5" outlineLevel="1" x14ac:dyDescent="0.25">
      <c r="A807" s="731"/>
      <c r="B807" s="733"/>
      <c r="C807" s="91" t="s">
        <v>988</v>
      </c>
      <c r="D807" s="52">
        <v>33256.67</v>
      </c>
      <c r="E807" s="105" t="s">
        <v>989</v>
      </c>
      <c r="F807" s="91" t="s">
        <v>990</v>
      </c>
      <c r="G807" s="52">
        <v>33256.67</v>
      </c>
      <c r="H807" s="75"/>
      <c r="I807" s="291">
        <v>42604</v>
      </c>
      <c r="J807" s="52">
        <v>33256.67</v>
      </c>
    </row>
    <row r="808" spans="1:10" ht="49.5" outlineLevel="1" x14ac:dyDescent="0.25">
      <c r="A808" s="731"/>
      <c r="B808" s="733"/>
      <c r="C808" s="116" t="s">
        <v>37</v>
      </c>
      <c r="D808" s="59">
        <f>79307.86*1.18</f>
        <v>93583.274799999999</v>
      </c>
      <c r="E808" s="60" t="s">
        <v>559</v>
      </c>
      <c r="F808" s="60" t="s">
        <v>535</v>
      </c>
      <c r="G808" s="61">
        <f>79307.86*1.18</f>
        <v>93583.274799999999</v>
      </c>
      <c r="H808" s="62">
        <v>42458</v>
      </c>
      <c r="I808" s="62">
        <v>42408</v>
      </c>
      <c r="J808" s="63">
        <v>93583.26999999999</v>
      </c>
    </row>
    <row r="809" spans="1:10" ht="17.25" outlineLevel="1" thickBot="1" x14ac:dyDescent="0.3">
      <c r="A809" s="686" t="s">
        <v>628</v>
      </c>
      <c r="B809" s="687"/>
      <c r="C809" s="156"/>
      <c r="D809" s="157">
        <f>SUM(D800:D808)</f>
        <v>12786055.334800001</v>
      </c>
      <c r="E809" s="88"/>
      <c r="F809" s="88"/>
      <c r="G809" s="158">
        <f>SUM(G800:G808)</f>
        <v>14041685.334003001</v>
      </c>
      <c r="H809" s="88"/>
      <c r="I809" s="231"/>
      <c r="J809" s="157">
        <f>SUM(J800:J808)</f>
        <v>12713726.109999999</v>
      </c>
    </row>
    <row r="810" spans="1:10" s="4" customFormat="1" ht="33" x14ac:dyDescent="0.25">
      <c r="A810" s="734">
        <v>25</v>
      </c>
      <c r="B810" s="732" t="s">
        <v>193</v>
      </c>
      <c r="C810" s="70" t="s">
        <v>38</v>
      </c>
      <c r="D810" s="51">
        <v>491897.59</v>
      </c>
      <c r="E810" s="70" t="s">
        <v>590</v>
      </c>
      <c r="F810" s="70" t="s">
        <v>589</v>
      </c>
      <c r="G810" s="148">
        <v>547116.83448277914</v>
      </c>
      <c r="H810" s="50">
        <v>42551</v>
      </c>
      <c r="I810" s="50">
        <v>42495</v>
      </c>
      <c r="J810" s="51">
        <v>491897.58999999997</v>
      </c>
    </row>
    <row r="811" spans="1:10" ht="33" outlineLevel="1" x14ac:dyDescent="0.25">
      <c r="A811" s="731"/>
      <c r="B811" s="733"/>
      <c r="C811" s="91" t="s">
        <v>34</v>
      </c>
      <c r="D811" s="52">
        <v>4464951.32</v>
      </c>
      <c r="E811" s="91" t="s">
        <v>657</v>
      </c>
      <c r="F811" s="91" t="s">
        <v>591</v>
      </c>
      <c r="G811" s="149">
        <v>4650035.4400000004</v>
      </c>
      <c r="H811" s="75">
        <v>42551</v>
      </c>
      <c r="I811" s="75">
        <v>42543</v>
      </c>
      <c r="J811" s="52">
        <f>4464951.32-1701936.88</f>
        <v>2763014.4400000004</v>
      </c>
    </row>
    <row r="812" spans="1:10" ht="33" outlineLevel="1" x14ac:dyDescent="0.25">
      <c r="A812" s="731"/>
      <c r="B812" s="733"/>
      <c r="C812" s="91" t="s">
        <v>35</v>
      </c>
      <c r="D812" s="52">
        <v>310866.2</v>
      </c>
      <c r="E812" s="91" t="s">
        <v>657</v>
      </c>
      <c r="F812" s="91" t="s">
        <v>591</v>
      </c>
      <c r="G812" s="149">
        <v>367924</v>
      </c>
      <c r="H812" s="75">
        <v>42415</v>
      </c>
      <c r="I812" s="75">
        <v>42415</v>
      </c>
      <c r="J812" s="52">
        <v>310866.2</v>
      </c>
    </row>
    <row r="813" spans="1:10" ht="33" outlineLevel="1" x14ac:dyDescent="0.25">
      <c r="A813" s="731"/>
      <c r="B813" s="733"/>
      <c r="C813" s="91" t="s">
        <v>36</v>
      </c>
      <c r="D813" s="52">
        <v>265208.19</v>
      </c>
      <c r="E813" s="91" t="s">
        <v>657</v>
      </c>
      <c r="F813" s="91" t="s">
        <v>591</v>
      </c>
      <c r="G813" s="149">
        <v>301728.36</v>
      </c>
      <c r="H813" s="75">
        <v>42429</v>
      </c>
      <c r="I813" s="75">
        <v>42415</v>
      </c>
      <c r="J813" s="52">
        <v>265208.19</v>
      </c>
    </row>
    <row r="814" spans="1:10" ht="33" outlineLevel="1" x14ac:dyDescent="0.25">
      <c r="A814" s="731"/>
      <c r="B814" s="733"/>
      <c r="C814" s="91" t="s">
        <v>500</v>
      </c>
      <c r="D814" s="52">
        <v>3814345.8</v>
      </c>
      <c r="E814" s="91" t="s">
        <v>594</v>
      </c>
      <c r="F814" s="91" t="s">
        <v>589</v>
      </c>
      <c r="G814" s="149">
        <v>4499677.9830922913</v>
      </c>
      <c r="H814" s="75">
        <v>42459</v>
      </c>
      <c r="I814" s="75">
        <v>42459</v>
      </c>
      <c r="J814" s="52">
        <v>3814345.8000000003</v>
      </c>
    </row>
    <row r="815" spans="1:10" ht="33" outlineLevel="1" x14ac:dyDescent="0.25">
      <c r="A815" s="731"/>
      <c r="B815" s="733"/>
      <c r="C815" s="91" t="s">
        <v>501</v>
      </c>
      <c r="D815" s="52">
        <v>4547763.53</v>
      </c>
      <c r="E815" s="501" t="s">
        <v>594</v>
      </c>
      <c r="F815" s="91" t="s">
        <v>589</v>
      </c>
      <c r="G815" s="149">
        <v>5038787.2693511527</v>
      </c>
      <c r="H815" s="75">
        <v>42551</v>
      </c>
      <c r="I815" s="75">
        <v>42535</v>
      </c>
      <c r="J815" s="52">
        <v>4547763.53</v>
      </c>
    </row>
    <row r="816" spans="1:10" ht="33" outlineLevel="1" x14ac:dyDescent="0.25">
      <c r="A816" s="731"/>
      <c r="B816" s="733"/>
      <c r="C816" s="91" t="s">
        <v>515</v>
      </c>
      <c r="D816" s="52">
        <v>705088.94</v>
      </c>
      <c r="E816" s="498" t="s">
        <v>689</v>
      </c>
      <c r="F816" s="91" t="s">
        <v>690</v>
      </c>
      <c r="G816" s="149">
        <v>775675.36</v>
      </c>
      <c r="H816" s="75">
        <v>42583</v>
      </c>
      <c r="I816" s="290">
        <v>42551</v>
      </c>
      <c r="J816" s="52">
        <v>705088.94</v>
      </c>
    </row>
    <row r="817" spans="1:10" s="24" customFormat="1" ht="16.5" outlineLevel="1" x14ac:dyDescent="0.25">
      <c r="A817" s="731"/>
      <c r="B817" s="733"/>
      <c r="C817" s="91" t="s">
        <v>988</v>
      </c>
      <c r="D817" s="52">
        <v>63051.33</v>
      </c>
      <c r="E817" s="105" t="s">
        <v>989</v>
      </c>
      <c r="F817" s="91" t="s">
        <v>990</v>
      </c>
      <c r="G817" s="52">
        <v>63051.33</v>
      </c>
      <c r="H817" s="75"/>
      <c r="I817" s="291">
        <v>42604</v>
      </c>
      <c r="J817" s="52">
        <v>63051.33</v>
      </c>
    </row>
    <row r="818" spans="1:10" ht="49.5" outlineLevel="1" x14ac:dyDescent="0.25">
      <c r="A818" s="731"/>
      <c r="B818" s="733"/>
      <c r="C818" s="116" t="s">
        <v>37</v>
      </c>
      <c r="D818" s="59">
        <f>78963.68*1.18</f>
        <v>93177.142399999982</v>
      </c>
      <c r="E818" s="60" t="s">
        <v>559</v>
      </c>
      <c r="F818" s="60" t="s">
        <v>535</v>
      </c>
      <c r="G818" s="61">
        <f>78963.68*1.18</f>
        <v>93177.142399999982</v>
      </c>
      <c r="H818" s="62">
        <v>42458</v>
      </c>
      <c r="I818" s="62">
        <v>42408</v>
      </c>
      <c r="J818" s="63">
        <v>93177.14</v>
      </c>
    </row>
    <row r="819" spans="1:10" ht="17.25" outlineLevel="1" thickBot="1" x14ac:dyDescent="0.3">
      <c r="A819" s="686" t="s">
        <v>628</v>
      </c>
      <c r="B819" s="687"/>
      <c r="C819" s="156"/>
      <c r="D819" s="157">
        <f>SUM(D810:D818)</f>
        <v>14756350.042400002</v>
      </c>
      <c r="E819" s="65"/>
      <c r="F819" s="65"/>
      <c r="G819" s="158">
        <f>SUM(G810:G818)</f>
        <v>16337173.719326224</v>
      </c>
      <c r="H819" s="65"/>
      <c r="I819" s="231"/>
      <c r="J819" s="157">
        <f>SUM(J810:J818)</f>
        <v>13054413.16</v>
      </c>
    </row>
    <row r="820" spans="1:10" s="4" customFormat="1" ht="33" x14ac:dyDescent="0.25">
      <c r="A820" s="734">
        <v>26</v>
      </c>
      <c r="B820" s="732" t="s">
        <v>194</v>
      </c>
      <c r="C820" s="70" t="s">
        <v>38</v>
      </c>
      <c r="D820" s="51">
        <v>561263.11</v>
      </c>
      <c r="E820" s="70" t="s">
        <v>590</v>
      </c>
      <c r="F820" s="70" t="s">
        <v>589</v>
      </c>
      <c r="G820" s="148">
        <v>600222.86355547444</v>
      </c>
      <c r="H820" s="50">
        <v>42551</v>
      </c>
      <c r="I820" s="50">
        <v>42537</v>
      </c>
      <c r="J820" s="51">
        <v>561263.11</v>
      </c>
    </row>
    <row r="821" spans="1:10" ht="33" outlineLevel="1" x14ac:dyDescent="0.25">
      <c r="A821" s="731"/>
      <c r="B821" s="733"/>
      <c r="C821" s="91" t="s">
        <v>34</v>
      </c>
      <c r="D821" s="52">
        <v>3519839.42</v>
      </c>
      <c r="E821" s="91" t="s">
        <v>657</v>
      </c>
      <c r="F821" s="91" t="s">
        <v>591</v>
      </c>
      <c r="G821" s="149">
        <v>3607049.96</v>
      </c>
      <c r="H821" s="75">
        <v>42551</v>
      </c>
      <c r="I821" s="75">
        <v>42543</v>
      </c>
      <c r="J821" s="52">
        <f>3519839.42-304470.75</f>
        <v>3215368.67</v>
      </c>
    </row>
    <row r="822" spans="1:10" ht="33" outlineLevel="1" x14ac:dyDescent="0.25">
      <c r="A822" s="731"/>
      <c r="B822" s="733"/>
      <c r="C822" s="91" t="s">
        <v>35</v>
      </c>
      <c r="D822" s="52">
        <v>310866.2</v>
      </c>
      <c r="E822" s="91" t="s">
        <v>657</v>
      </c>
      <c r="F822" s="91" t="s">
        <v>591</v>
      </c>
      <c r="G822" s="149">
        <v>367924</v>
      </c>
      <c r="H822" s="75">
        <v>42429</v>
      </c>
      <c r="I822" s="75">
        <v>42415</v>
      </c>
      <c r="J822" s="52">
        <v>310866.2</v>
      </c>
    </row>
    <row r="823" spans="1:10" ht="33" outlineLevel="1" x14ac:dyDescent="0.25">
      <c r="A823" s="731"/>
      <c r="B823" s="733"/>
      <c r="C823" s="91" t="s">
        <v>36</v>
      </c>
      <c r="D823" s="52">
        <v>259469.51</v>
      </c>
      <c r="E823" s="91" t="s">
        <v>657</v>
      </c>
      <c r="F823" s="91" t="s">
        <v>591</v>
      </c>
      <c r="G823" s="149">
        <v>296185.90000000002</v>
      </c>
      <c r="H823" s="75">
        <v>42429</v>
      </c>
      <c r="I823" s="75">
        <v>42415</v>
      </c>
      <c r="J823" s="52">
        <v>259469.51</v>
      </c>
    </row>
    <row r="824" spans="1:10" ht="33" outlineLevel="1" x14ac:dyDescent="0.25">
      <c r="A824" s="731"/>
      <c r="B824" s="733"/>
      <c r="C824" s="91" t="s">
        <v>500</v>
      </c>
      <c r="D824" s="52">
        <v>3835534.22</v>
      </c>
      <c r="E824" s="91" t="s">
        <v>594</v>
      </c>
      <c r="F824" s="91" t="s">
        <v>589</v>
      </c>
      <c r="G824" s="149">
        <v>4416508.425929415</v>
      </c>
      <c r="H824" s="75">
        <v>42459</v>
      </c>
      <c r="I824" s="75">
        <v>42459</v>
      </c>
      <c r="J824" s="52">
        <v>3835534.22</v>
      </c>
    </row>
    <row r="825" spans="1:10" ht="33" outlineLevel="1" x14ac:dyDescent="0.25">
      <c r="A825" s="731"/>
      <c r="B825" s="733"/>
      <c r="C825" s="91" t="s">
        <v>501</v>
      </c>
      <c r="D825" s="52">
        <v>4994668.71</v>
      </c>
      <c r="E825" s="91" t="s">
        <v>594</v>
      </c>
      <c r="F825" s="91" t="s">
        <v>589</v>
      </c>
      <c r="G825" s="149">
        <v>5527269.8646437721</v>
      </c>
      <c r="H825" s="75">
        <v>42551</v>
      </c>
      <c r="I825" s="75">
        <v>42535</v>
      </c>
      <c r="J825" s="52">
        <v>4994668.71</v>
      </c>
    </row>
    <row r="826" spans="1:10" ht="33" outlineLevel="1" x14ac:dyDescent="0.25">
      <c r="A826" s="731"/>
      <c r="B826" s="733"/>
      <c r="C826" s="91" t="s">
        <v>515</v>
      </c>
      <c r="D826" s="52">
        <v>720099.72</v>
      </c>
      <c r="E826" s="105" t="s">
        <v>689</v>
      </c>
      <c r="F826" s="91" t="s">
        <v>690</v>
      </c>
      <c r="G826" s="149">
        <v>765830.62</v>
      </c>
      <c r="H826" s="75">
        <v>42583</v>
      </c>
      <c r="I826" s="290">
        <v>42551</v>
      </c>
      <c r="J826" s="52">
        <v>720099.72</v>
      </c>
    </row>
    <row r="827" spans="1:10" s="24" customFormat="1" ht="16.5" outlineLevel="1" x14ac:dyDescent="0.25">
      <c r="A827" s="731"/>
      <c r="B827" s="733"/>
      <c r="C827" s="91" t="s">
        <v>988</v>
      </c>
      <c r="D827" s="52">
        <v>48909.15</v>
      </c>
      <c r="E827" s="105" t="s">
        <v>989</v>
      </c>
      <c r="F827" s="91" t="s">
        <v>990</v>
      </c>
      <c r="G827" s="52">
        <v>48909.15</v>
      </c>
      <c r="H827" s="75"/>
      <c r="I827" s="291">
        <v>42604</v>
      </c>
      <c r="J827" s="52">
        <v>48909.15</v>
      </c>
    </row>
    <row r="828" spans="1:10" ht="49.5" outlineLevel="1" x14ac:dyDescent="0.25">
      <c r="A828" s="731"/>
      <c r="B828" s="733"/>
      <c r="C828" s="116" t="s">
        <v>37</v>
      </c>
      <c r="D828" s="59">
        <f>78963.68*1.18</f>
        <v>93177.142399999982</v>
      </c>
      <c r="E828" s="60" t="s">
        <v>559</v>
      </c>
      <c r="F828" s="60" t="s">
        <v>535</v>
      </c>
      <c r="G828" s="61">
        <f>78963.68*1.18</f>
        <v>93177.142399999982</v>
      </c>
      <c r="H828" s="62">
        <v>42458</v>
      </c>
      <c r="I828" s="62">
        <v>42408</v>
      </c>
      <c r="J828" s="63">
        <v>93177.14</v>
      </c>
    </row>
    <row r="829" spans="1:10" ht="17.25" outlineLevel="1" thickBot="1" x14ac:dyDescent="0.3">
      <c r="A829" s="686" t="s">
        <v>628</v>
      </c>
      <c r="B829" s="687"/>
      <c r="C829" s="156"/>
      <c r="D829" s="157">
        <f>SUM(D820:D828)</f>
        <v>14343827.182399999</v>
      </c>
      <c r="E829" s="88"/>
      <c r="F829" s="88"/>
      <c r="G829" s="158">
        <f>SUM(G820:G828)</f>
        <v>15723077.926528662</v>
      </c>
      <c r="H829" s="88"/>
      <c r="I829" s="231"/>
      <c r="J829" s="157">
        <f>SUM(J820:J828)</f>
        <v>14039356.430000003</v>
      </c>
    </row>
    <row r="830" spans="1:10" s="4" customFormat="1" ht="33" x14ac:dyDescent="0.25">
      <c r="A830" s="734">
        <v>27</v>
      </c>
      <c r="B830" s="732" t="s">
        <v>195</v>
      </c>
      <c r="C830" s="70" t="s">
        <v>38</v>
      </c>
      <c r="D830" s="51">
        <v>620407.68000000005</v>
      </c>
      <c r="E830" s="70" t="s">
        <v>590</v>
      </c>
      <c r="F830" s="70" t="s">
        <v>589</v>
      </c>
      <c r="G830" s="148">
        <v>862729.45054004726</v>
      </c>
      <c r="H830" s="50">
        <v>42551</v>
      </c>
      <c r="I830" s="50">
        <v>42495</v>
      </c>
      <c r="J830" s="51">
        <v>620407.68000000005</v>
      </c>
    </row>
    <row r="831" spans="1:10" ht="33" outlineLevel="1" x14ac:dyDescent="0.25">
      <c r="A831" s="731"/>
      <c r="B831" s="733"/>
      <c r="C831" s="91" t="s">
        <v>34</v>
      </c>
      <c r="D831" s="52">
        <v>3581823.61</v>
      </c>
      <c r="E831" s="91" t="s">
        <v>657</v>
      </c>
      <c r="F831" s="91" t="s">
        <v>591</v>
      </c>
      <c r="G831" s="149">
        <v>3807948.5</v>
      </c>
      <c r="H831" s="75">
        <v>42551</v>
      </c>
      <c r="I831" s="75">
        <v>42551</v>
      </c>
      <c r="J831" s="52">
        <f>3581823.61-446873.15</f>
        <v>3134950.46</v>
      </c>
    </row>
    <row r="832" spans="1:10" ht="33" outlineLevel="1" x14ac:dyDescent="0.25">
      <c r="A832" s="731"/>
      <c r="B832" s="733"/>
      <c r="C832" s="91" t="s">
        <v>35</v>
      </c>
      <c r="D832" s="52">
        <v>465079.14</v>
      </c>
      <c r="E832" s="91" t="s">
        <v>657</v>
      </c>
      <c r="F832" s="91" t="s">
        <v>591</v>
      </c>
      <c r="G832" s="149">
        <v>539678.9</v>
      </c>
      <c r="H832" s="75">
        <v>42429</v>
      </c>
      <c r="I832" s="75">
        <v>42415</v>
      </c>
      <c r="J832" s="52">
        <v>465079.14</v>
      </c>
    </row>
    <row r="833" spans="1:10" ht="33" outlineLevel="1" x14ac:dyDescent="0.25">
      <c r="A833" s="731"/>
      <c r="B833" s="733"/>
      <c r="C833" s="91" t="s">
        <v>36</v>
      </c>
      <c r="D833" s="52">
        <v>291129.39</v>
      </c>
      <c r="E833" s="91" t="s">
        <v>657</v>
      </c>
      <c r="F833" s="91" t="s">
        <v>591</v>
      </c>
      <c r="G833" s="149">
        <v>330949.88</v>
      </c>
      <c r="H833" s="75">
        <v>42429</v>
      </c>
      <c r="I833" s="75">
        <v>42415</v>
      </c>
      <c r="J833" s="52">
        <v>291129.39</v>
      </c>
    </row>
    <row r="834" spans="1:10" ht="33" outlineLevel="1" x14ac:dyDescent="0.25">
      <c r="A834" s="731"/>
      <c r="B834" s="733"/>
      <c r="C834" s="91" t="s">
        <v>515</v>
      </c>
      <c r="D834" s="52">
        <v>773679.98</v>
      </c>
      <c r="E834" s="105" t="s">
        <v>689</v>
      </c>
      <c r="F834" s="91" t="s">
        <v>690</v>
      </c>
      <c r="G834" s="149">
        <v>793986.6</v>
      </c>
      <c r="H834" s="75">
        <v>42583</v>
      </c>
      <c r="I834" s="290">
        <v>42551</v>
      </c>
      <c r="J834" s="52">
        <v>773679.98</v>
      </c>
    </row>
    <row r="835" spans="1:10" s="24" customFormat="1" ht="16.5" outlineLevel="1" x14ac:dyDescent="0.25">
      <c r="A835" s="731"/>
      <c r="B835" s="733"/>
      <c r="C835" s="91" t="s">
        <v>988</v>
      </c>
      <c r="D835" s="52">
        <v>51633.2</v>
      </c>
      <c r="E835" s="105" t="s">
        <v>989</v>
      </c>
      <c r="F835" s="91" t="s">
        <v>990</v>
      </c>
      <c r="G835" s="52">
        <v>51633.2</v>
      </c>
      <c r="H835" s="75"/>
      <c r="I835" s="291">
        <v>42604</v>
      </c>
      <c r="J835" s="52">
        <v>51633.2</v>
      </c>
    </row>
    <row r="836" spans="1:10" ht="49.5" outlineLevel="1" x14ac:dyDescent="0.25">
      <c r="A836" s="731"/>
      <c r="B836" s="733"/>
      <c r="C836" s="116" t="s">
        <v>37</v>
      </c>
      <c r="D836" s="59">
        <f>82413.31*1.18</f>
        <v>97247.705799999996</v>
      </c>
      <c r="E836" s="60" t="s">
        <v>559</v>
      </c>
      <c r="F836" s="60" t="s">
        <v>535</v>
      </c>
      <c r="G836" s="61">
        <f>82413.31*1.18</f>
        <v>97247.705799999996</v>
      </c>
      <c r="H836" s="62">
        <v>42458</v>
      </c>
      <c r="I836" s="62">
        <v>42408</v>
      </c>
      <c r="J836" s="63">
        <v>97247.71</v>
      </c>
    </row>
    <row r="837" spans="1:10" ht="17.25" outlineLevel="1" thickBot="1" x14ac:dyDescent="0.3">
      <c r="A837" s="686" t="s">
        <v>628</v>
      </c>
      <c r="B837" s="687"/>
      <c r="C837" s="156"/>
      <c r="D837" s="157">
        <f>SUM(D830:D836)</f>
        <v>5881000.7057999987</v>
      </c>
      <c r="E837" s="88"/>
      <c r="F837" s="88"/>
      <c r="G837" s="158">
        <f>SUM(G830:G836)</f>
        <v>6484174.2363400469</v>
      </c>
      <c r="H837" s="88"/>
      <c r="I837" s="231"/>
      <c r="J837" s="157">
        <f>SUM(J830:J836)</f>
        <v>5434127.5600000005</v>
      </c>
    </row>
    <row r="838" spans="1:10" s="4" customFormat="1" ht="16.5" x14ac:dyDescent="0.25">
      <c r="A838" s="734">
        <v>28</v>
      </c>
      <c r="B838" s="732" t="s">
        <v>196</v>
      </c>
      <c r="C838" s="70" t="s">
        <v>38</v>
      </c>
      <c r="D838" s="51">
        <v>670757.13</v>
      </c>
      <c r="E838" s="70" t="s">
        <v>587</v>
      </c>
      <c r="F838" s="70" t="s">
        <v>588</v>
      </c>
      <c r="G838" s="148">
        <v>786796.55688490393</v>
      </c>
      <c r="H838" s="50">
        <v>42551</v>
      </c>
      <c r="I838" s="50">
        <v>42495</v>
      </c>
      <c r="J838" s="51">
        <v>670757.13000000012</v>
      </c>
    </row>
    <row r="839" spans="1:10" ht="33" outlineLevel="1" x14ac:dyDescent="0.25">
      <c r="A839" s="731"/>
      <c r="B839" s="733"/>
      <c r="C839" s="91" t="s">
        <v>34</v>
      </c>
      <c r="D839" s="52">
        <v>5108020.12</v>
      </c>
      <c r="E839" s="91" t="s">
        <v>658</v>
      </c>
      <c r="F839" s="91" t="s">
        <v>591</v>
      </c>
      <c r="G839" s="149">
        <v>5097596.46</v>
      </c>
      <c r="H839" s="75">
        <v>42582</v>
      </c>
      <c r="I839" s="290">
        <v>42561</v>
      </c>
      <c r="J839" s="52">
        <f>5108020.12-1591805.58</f>
        <v>3516214.54</v>
      </c>
    </row>
    <row r="840" spans="1:10" ht="33" outlineLevel="1" x14ac:dyDescent="0.25">
      <c r="A840" s="731"/>
      <c r="B840" s="733"/>
      <c r="C840" s="91" t="s">
        <v>35</v>
      </c>
      <c r="D840" s="52">
        <v>368914.41</v>
      </c>
      <c r="E840" s="91" t="s">
        <v>658</v>
      </c>
      <c r="F840" s="91" t="s">
        <v>591</v>
      </c>
      <c r="G840" s="149">
        <v>425316.84</v>
      </c>
      <c r="H840" s="75">
        <v>42460</v>
      </c>
      <c r="I840" s="75">
        <v>42429</v>
      </c>
      <c r="J840" s="52">
        <v>368914.41</v>
      </c>
    </row>
    <row r="841" spans="1:10" ht="33" outlineLevel="1" x14ac:dyDescent="0.25">
      <c r="A841" s="731"/>
      <c r="B841" s="733"/>
      <c r="C841" s="91" t="s">
        <v>36</v>
      </c>
      <c r="D841" s="52">
        <v>353951.34</v>
      </c>
      <c r="E841" s="91" t="s">
        <v>658</v>
      </c>
      <c r="F841" s="91" t="s">
        <v>591</v>
      </c>
      <c r="G841" s="149">
        <v>403475.04</v>
      </c>
      <c r="H841" s="75">
        <v>42475</v>
      </c>
      <c r="I841" s="75">
        <v>42429</v>
      </c>
      <c r="J841" s="52">
        <v>353951.34</v>
      </c>
    </row>
    <row r="842" spans="1:10" ht="33" outlineLevel="1" x14ac:dyDescent="0.25">
      <c r="A842" s="731"/>
      <c r="B842" s="733"/>
      <c r="C842" s="91" t="s">
        <v>515</v>
      </c>
      <c r="D842" s="52">
        <v>1164724.8999999999</v>
      </c>
      <c r="E842" s="105" t="s">
        <v>689</v>
      </c>
      <c r="F842" s="91" t="s">
        <v>690</v>
      </c>
      <c r="G842" s="149">
        <v>1259559.1399999999</v>
      </c>
      <c r="H842" s="75">
        <v>42583</v>
      </c>
      <c r="I842" s="290">
        <v>42551</v>
      </c>
      <c r="J842" s="52">
        <v>1164724.8999999999</v>
      </c>
    </row>
    <row r="843" spans="1:10" s="24" customFormat="1" ht="16.5" outlineLevel="1" x14ac:dyDescent="0.25">
      <c r="A843" s="731"/>
      <c r="B843" s="733"/>
      <c r="C843" s="91" t="s">
        <v>988</v>
      </c>
      <c r="D843" s="52">
        <v>69119.95</v>
      </c>
      <c r="E843" s="105" t="s">
        <v>989</v>
      </c>
      <c r="F843" s="91" t="s">
        <v>990</v>
      </c>
      <c r="G843" s="52">
        <v>69119.95</v>
      </c>
      <c r="H843" s="75"/>
      <c r="I843" s="291">
        <v>42604</v>
      </c>
      <c r="J843" s="52">
        <v>69119.95</v>
      </c>
    </row>
    <row r="844" spans="1:10" ht="49.5" outlineLevel="1" x14ac:dyDescent="0.25">
      <c r="A844" s="731"/>
      <c r="B844" s="733"/>
      <c r="C844" s="116" t="s">
        <v>37</v>
      </c>
      <c r="D844" s="59">
        <f>87313.04*1.18</f>
        <v>103029.38719999998</v>
      </c>
      <c r="E844" s="60" t="s">
        <v>559</v>
      </c>
      <c r="F844" s="60" t="s">
        <v>535</v>
      </c>
      <c r="G844" s="61">
        <f>87313.04*1.18</f>
        <v>103029.38719999998</v>
      </c>
      <c r="H844" s="62">
        <v>42458</v>
      </c>
      <c r="I844" s="62">
        <v>42408</v>
      </c>
      <c r="J844" s="63">
        <v>103029.39000000001</v>
      </c>
    </row>
    <row r="845" spans="1:10" ht="17.25" outlineLevel="1" thickBot="1" x14ac:dyDescent="0.3">
      <c r="A845" s="686" t="s">
        <v>628</v>
      </c>
      <c r="B845" s="687"/>
      <c r="C845" s="156"/>
      <c r="D845" s="157">
        <f>SUM(D838:D844)</f>
        <v>7838517.2372000003</v>
      </c>
      <c r="E845" s="88"/>
      <c r="F845" s="88"/>
      <c r="G845" s="158">
        <f>SUM(G838:G844)</f>
        <v>8144893.3740849039</v>
      </c>
      <c r="H845" s="88"/>
      <c r="I845" s="231"/>
      <c r="J845" s="157">
        <f>SUM(J838:J844)</f>
        <v>6246711.6600000001</v>
      </c>
    </row>
    <row r="846" spans="1:10" s="4" customFormat="1" ht="33" x14ac:dyDescent="0.25">
      <c r="A846" s="734">
        <v>29</v>
      </c>
      <c r="B846" s="732" t="s">
        <v>197</v>
      </c>
      <c r="C846" s="70" t="s">
        <v>38</v>
      </c>
      <c r="D846" s="51">
        <v>670457.14</v>
      </c>
      <c r="E846" s="70" t="s">
        <v>590</v>
      </c>
      <c r="F846" s="70" t="s">
        <v>589</v>
      </c>
      <c r="G846" s="148">
        <v>777920.22811847832</v>
      </c>
      <c r="H846" s="50">
        <v>42551</v>
      </c>
      <c r="I846" s="50">
        <v>42466</v>
      </c>
      <c r="J846" s="51">
        <v>649720.53</v>
      </c>
    </row>
    <row r="847" spans="1:10" ht="33" outlineLevel="1" x14ac:dyDescent="0.25">
      <c r="A847" s="731"/>
      <c r="B847" s="733"/>
      <c r="C847" s="91" t="s">
        <v>34</v>
      </c>
      <c r="D847" s="52">
        <v>4757165.8099999996</v>
      </c>
      <c r="E847" s="91" t="s">
        <v>658</v>
      </c>
      <c r="F847" s="91" t="s">
        <v>591</v>
      </c>
      <c r="G847" s="149">
        <v>4738290</v>
      </c>
      <c r="H847" s="75">
        <v>42582</v>
      </c>
      <c r="I847" s="293">
        <v>42561</v>
      </c>
      <c r="J847" s="52">
        <f>4757165.81-1591805.58</f>
        <v>3165360.2299999995</v>
      </c>
    </row>
    <row r="848" spans="1:10" ht="33" outlineLevel="1" x14ac:dyDescent="0.25">
      <c r="A848" s="731"/>
      <c r="B848" s="733"/>
      <c r="C848" s="91" t="s">
        <v>35</v>
      </c>
      <c r="D848" s="52">
        <v>367896.72</v>
      </c>
      <c r="E848" s="91" t="s">
        <v>658</v>
      </c>
      <c r="F848" s="91" t="s">
        <v>591</v>
      </c>
      <c r="G848" s="149">
        <v>425316.84</v>
      </c>
      <c r="H848" s="75">
        <v>42460</v>
      </c>
      <c r="I848" s="75">
        <v>42429</v>
      </c>
      <c r="J848" s="52">
        <v>367896.72</v>
      </c>
    </row>
    <row r="849" spans="1:10" ht="33" outlineLevel="1" x14ac:dyDescent="0.25">
      <c r="A849" s="731"/>
      <c r="B849" s="733"/>
      <c r="C849" s="91" t="s">
        <v>36</v>
      </c>
      <c r="D849" s="52">
        <v>356198.09</v>
      </c>
      <c r="E849" s="91" t="s">
        <v>658</v>
      </c>
      <c r="F849" s="91" t="s">
        <v>591</v>
      </c>
      <c r="G849" s="149">
        <v>406055.7</v>
      </c>
      <c r="H849" s="75">
        <v>42475</v>
      </c>
      <c r="I849" s="75">
        <v>42429</v>
      </c>
      <c r="J849" s="52">
        <v>356198.09</v>
      </c>
    </row>
    <row r="850" spans="1:10" ht="33" outlineLevel="1" x14ac:dyDescent="0.25">
      <c r="A850" s="731"/>
      <c r="B850" s="733"/>
      <c r="C850" s="91" t="s">
        <v>515</v>
      </c>
      <c r="D850" s="52">
        <v>1121855.5</v>
      </c>
      <c r="E850" s="105" t="s">
        <v>689</v>
      </c>
      <c r="F850" s="91" t="s">
        <v>690</v>
      </c>
      <c r="G850" s="149">
        <v>1207099.8799999999</v>
      </c>
      <c r="H850" s="75">
        <v>42583</v>
      </c>
      <c r="I850" s="290">
        <v>42559</v>
      </c>
      <c r="J850" s="52">
        <v>1121855.5</v>
      </c>
    </row>
    <row r="851" spans="1:10" s="24" customFormat="1" ht="16.5" outlineLevel="1" x14ac:dyDescent="0.25">
      <c r="A851" s="731"/>
      <c r="B851" s="733"/>
      <c r="C851" s="91" t="s">
        <v>988</v>
      </c>
      <c r="D851" s="52">
        <v>64248</v>
      </c>
      <c r="E851" s="105" t="s">
        <v>989</v>
      </c>
      <c r="F851" s="91" t="s">
        <v>990</v>
      </c>
      <c r="G851" s="52">
        <v>64248</v>
      </c>
      <c r="H851" s="75"/>
      <c r="I851" s="291">
        <v>42604</v>
      </c>
      <c r="J851" s="52">
        <v>64248</v>
      </c>
    </row>
    <row r="852" spans="1:10" ht="49.5" outlineLevel="1" x14ac:dyDescent="0.25">
      <c r="A852" s="731"/>
      <c r="B852" s="733"/>
      <c r="C852" s="116" t="s">
        <v>37</v>
      </c>
      <c r="D852" s="59">
        <f>87313.04*1.18</f>
        <v>103029.38719999998</v>
      </c>
      <c r="E852" s="60" t="s">
        <v>559</v>
      </c>
      <c r="F852" s="60" t="s">
        <v>535</v>
      </c>
      <c r="G852" s="61">
        <f>87313.04*1.18</f>
        <v>103029.38719999998</v>
      </c>
      <c r="H852" s="62">
        <v>42458</v>
      </c>
      <c r="I852" s="62">
        <v>42408</v>
      </c>
      <c r="J852" s="63">
        <v>103029.39000000001</v>
      </c>
    </row>
    <row r="853" spans="1:10" ht="17.25" outlineLevel="1" thickBot="1" x14ac:dyDescent="0.3">
      <c r="A853" s="686" t="s">
        <v>628</v>
      </c>
      <c r="B853" s="687"/>
      <c r="C853" s="156"/>
      <c r="D853" s="157">
        <f>SUM(D846:D852)</f>
        <v>7440850.6471999986</v>
      </c>
      <c r="E853" s="88"/>
      <c r="F853" s="88"/>
      <c r="G853" s="158">
        <f>SUM(G846:G852)</f>
        <v>7721960.035318478</v>
      </c>
      <c r="H853" s="88"/>
      <c r="I853" s="231"/>
      <c r="J853" s="157">
        <f>SUM(J846:J852)</f>
        <v>5828308.459999999</v>
      </c>
    </row>
    <row r="854" spans="1:10" s="4" customFormat="1" ht="33" x14ac:dyDescent="0.25">
      <c r="A854" s="734">
        <v>30</v>
      </c>
      <c r="B854" s="732" t="s">
        <v>198</v>
      </c>
      <c r="C854" s="70" t="s">
        <v>38</v>
      </c>
      <c r="D854" s="51">
        <v>678804.1</v>
      </c>
      <c r="E854" s="70" t="s">
        <v>590</v>
      </c>
      <c r="F854" s="70" t="s">
        <v>589</v>
      </c>
      <c r="G854" s="148">
        <v>786717.64048000076</v>
      </c>
      <c r="H854" s="50">
        <v>42551</v>
      </c>
      <c r="I854" s="50">
        <v>42466</v>
      </c>
      <c r="J854" s="51">
        <v>658067.49</v>
      </c>
    </row>
    <row r="855" spans="1:10" ht="33" outlineLevel="1" x14ac:dyDescent="0.25">
      <c r="A855" s="731"/>
      <c r="B855" s="733"/>
      <c r="C855" s="91" t="s">
        <v>34</v>
      </c>
      <c r="D855" s="52">
        <v>4983332.93</v>
      </c>
      <c r="E855" s="91" t="s">
        <v>658</v>
      </c>
      <c r="F855" s="91" t="s">
        <v>591</v>
      </c>
      <c r="G855" s="149">
        <v>4991998.26</v>
      </c>
      <c r="H855" s="75">
        <v>42582</v>
      </c>
      <c r="I855" s="290">
        <v>42561</v>
      </c>
      <c r="J855" s="52">
        <f>4983332.93-1591805.58</f>
        <v>3391527.3499999996</v>
      </c>
    </row>
    <row r="856" spans="1:10" ht="33" outlineLevel="1" x14ac:dyDescent="0.25">
      <c r="A856" s="731"/>
      <c r="B856" s="733"/>
      <c r="C856" s="91" t="s">
        <v>35</v>
      </c>
      <c r="D856" s="52">
        <v>367896.72</v>
      </c>
      <c r="E856" s="91" t="s">
        <v>658</v>
      </c>
      <c r="F856" s="91" t="s">
        <v>591</v>
      </c>
      <c r="G856" s="149">
        <v>425316.84</v>
      </c>
      <c r="H856" s="75">
        <v>42460</v>
      </c>
      <c r="I856" s="75">
        <v>42429</v>
      </c>
      <c r="J856" s="52">
        <v>367896.72</v>
      </c>
    </row>
    <row r="857" spans="1:10" ht="33" outlineLevel="1" x14ac:dyDescent="0.25">
      <c r="A857" s="731"/>
      <c r="B857" s="733"/>
      <c r="C857" s="91" t="s">
        <v>36</v>
      </c>
      <c r="D857" s="52">
        <v>356198.09</v>
      </c>
      <c r="E857" s="91" t="s">
        <v>658</v>
      </c>
      <c r="F857" s="91" t="s">
        <v>591</v>
      </c>
      <c r="G857" s="149">
        <v>406055.7</v>
      </c>
      <c r="H857" s="75">
        <v>42475</v>
      </c>
      <c r="I857" s="75">
        <v>42429</v>
      </c>
      <c r="J857" s="52">
        <v>356198.09</v>
      </c>
    </row>
    <row r="858" spans="1:10" ht="33" outlineLevel="1" x14ac:dyDescent="0.25">
      <c r="A858" s="731"/>
      <c r="B858" s="733"/>
      <c r="C858" s="91" t="s">
        <v>500</v>
      </c>
      <c r="D858" s="52">
        <v>2343373.7999999998</v>
      </c>
      <c r="E858" s="91" t="s">
        <v>970</v>
      </c>
      <c r="F858" s="91" t="s">
        <v>695</v>
      </c>
      <c r="G858" s="149">
        <v>2855729.8</v>
      </c>
      <c r="H858" s="75">
        <v>42653</v>
      </c>
      <c r="I858" s="75">
        <v>42656</v>
      </c>
      <c r="J858" s="52">
        <v>2343373.7999999998</v>
      </c>
    </row>
    <row r="859" spans="1:10" ht="33" outlineLevel="1" x14ac:dyDescent="0.25">
      <c r="A859" s="731"/>
      <c r="B859" s="733"/>
      <c r="C859" s="91" t="s">
        <v>515</v>
      </c>
      <c r="D859" s="52">
        <v>1187068.2</v>
      </c>
      <c r="E859" s="105" t="s">
        <v>689</v>
      </c>
      <c r="F859" s="91" t="s">
        <v>690</v>
      </c>
      <c r="G859" s="149">
        <v>1259559.1399999999</v>
      </c>
      <c r="H859" s="75">
        <v>42583</v>
      </c>
      <c r="I859" s="290">
        <v>42552</v>
      </c>
      <c r="J859" s="52">
        <v>1187068.2</v>
      </c>
    </row>
    <row r="860" spans="1:10" s="24" customFormat="1" ht="16.5" outlineLevel="1" x14ac:dyDescent="0.25">
      <c r="A860" s="731"/>
      <c r="B860" s="733"/>
      <c r="C860" s="91" t="s">
        <v>988</v>
      </c>
      <c r="D860" s="52">
        <v>67688.11</v>
      </c>
      <c r="E860" s="105" t="s">
        <v>989</v>
      </c>
      <c r="F860" s="91" t="s">
        <v>990</v>
      </c>
      <c r="G860" s="52">
        <v>67688.11</v>
      </c>
      <c r="H860" s="75"/>
      <c r="I860" s="291">
        <v>42604</v>
      </c>
      <c r="J860" s="52">
        <v>67688.11</v>
      </c>
    </row>
    <row r="861" spans="1:10" ht="49.5" outlineLevel="1" x14ac:dyDescent="0.25">
      <c r="A861" s="731"/>
      <c r="B861" s="733"/>
      <c r="C861" s="116" t="s">
        <v>37</v>
      </c>
      <c r="D861" s="59">
        <f>90082.14*1.18</f>
        <v>106296.9252</v>
      </c>
      <c r="E861" s="60" t="s">
        <v>559</v>
      </c>
      <c r="F861" s="60" t="s">
        <v>535</v>
      </c>
      <c r="G861" s="61">
        <f>90082.14*1.18</f>
        <v>106296.9252</v>
      </c>
      <c r="H861" s="62">
        <v>42458</v>
      </c>
      <c r="I861" s="62">
        <v>42408</v>
      </c>
      <c r="J861" s="63">
        <v>106296.93</v>
      </c>
    </row>
    <row r="862" spans="1:10" ht="17.25" outlineLevel="1" thickBot="1" x14ac:dyDescent="0.3">
      <c r="A862" s="686" t="s">
        <v>628</v>
      </c>
      <c r="B862" s="687"/>
      <c r="C862" s="156"/>
      <c r="D862" s="157">
        <f>SUM(D854:D861)</f>
        <v>10090658.875199998</v>
      </c>
      <c r="E862" s="88"/>
      <c r="F862" s="88"/>
      <c r="G862" s="158">
        <f>SUM(G854:G861)</f>
        <v>10899362.415680001</v>
      </c>
      <c r="H862" s="124"/>
      <c r="I862" s="130"/>
      <c r="J862" s="157">
        <f>SUM(J854:J861)</f>
        <v>8478116.6899999995</v>
      </c>
    </row>
    <row r="863" spans="1:10" s="4" customFormat="1" ht="33" x14ac:dyDescent="0.25">
      <c r="A863" s="734">
        <v>31</v>
      </c>
      <c r="B863" s="732" t="s">
        <v>199</v>
      </c>
      <c r="C863" s="70" t="s">
        <v>38</v>
      </c>
      <c r="D863" s="51">
        <v>554316.67000000004</v>
      </c>
      <c r="E863" s="70" t="s">
        <v>590</v>
      </c>
      <c r="F863" s="70" t="s">
        <v>589</v>
      </c>
      <c r="G863" s="148">
        <v>676364.23786237673</v>
      </c>
      <c r="H863" s="50">
        <v>42551</v>
      </c>
      <c r="I863" s="50">
        <v>42466</v>
      </c>
      <c r="J863" s="51">
        <v>533580.05999999994</v>
      </c>
    </row>
    <row r="864" spans="1:10" ht="33" outlineLevel="1" x14ac:dyDescent="0.25">
      <c r="A864" s="731"/>
      <c r="B864" s="733"/>
      <c r="C864" s="91" t="s">
        <v>34</v>
      </c>
      <c r="D864" s="52">
        <v>3392175.19</v>
      </c>
      <c r="E864" s="91" t="s">
        <v>658</v>
      </c>
      <c r="F864" s="91" t="s">
        <v>591</v>
      </c>
      <c r="G864" s="149">
        <v>3408414.66</v>
      </c>
      <c r="H864" s="75">
        <v>42582</v>
      </c>
      <c r="I864" s="290">
        <v>42561</v>
      </c>
      <c r="J864" s="52">
        <f>3392175.19-832067.4</f>
        <v>2560107.79</v>
      </c>
    </row>
    <row r="865" spans="1:10" ht="33" outlineLevel="1" x14ac:dyDescent="0.25">
      <c r="A865" s="731"/>
      <c r="B865" s="733"/>
      <c r="C865" s="91" t="s">
        <v>35</v>
      </c>
      <c r="D865" s="52">
        <v>312577.08</v>
      </c>
      <c r="E865" s="91" t="s">
        <v>658</v>
      </c>
      <c r="F865" s="91" t="s">
        <v>591</v>
      </c>
      <c r="G865" s="149">
        <v>359711.2</v>
      </c>
      <c r="H865" s="75">
        <v>42460</v>
      </c>
      <c r="I865" s="75">
        <v>42429</v>
      </c>
      <c r="J865" s="52">
        <v>312577.08</v>
      </c>
    </row>
    <row r="866" spans="1:10" ht="33" outlineLevel="1" x14ac:dyDescent="0.25">
      <c r="A866" s="731"/>
      <c r="B866" s="733"/>
      <c r="C866" s="91" t="s">
        <v>36</v>
      </c>
      <c r="D866" s="52">
        <v>273224.58</v>
      </c>
      <c r="E866" s="91" t="s">
        <v>658</v>
      </c>
      <c r="F866" s="91" t="s">
        <v>591</v>
      </c>
      <c r="G866" s="149">
        <v>309453.82</v>
      </c>
      <c r="H866" s="75">
        <v>42475</v>
      </c>
      <c r="I866" s="75">
        <v>42429</v>
      </c>
      <c r="J866" s="52">
        <v>273224.58</v>
      </c>
    </row>
    <row r="867" spans="1:10" ht="33" outlineLevel="1" x14ac:dyDescent="0.25">
      <c r="A867" s="731"/>
      <c r="B867" s="733"/>
      <c r="C867" s="91" t="s">
        <v>500</v>
      </c>
      <c r="D867" s="52">
        <v>3371284.78</v>
      </c>
      <c r="E867" s="91" t="s">
        <v>627</v>
      </c>
      <c r="F867" s="91" t="s">
        <v>592</v>
      </c>
      <c r="G867" s="149">
        <v>3371284.78</v>
      </c>
      <c r="H867" s="75">
        <v>42459</v>
      </c>
      <c r="I867" s="75">
        <v>42454</v>
      </c>
      <c r="J867" s="52">
        <v>3088403.28</v>
      </c>
    </row>
    <row r="868" spans="1:10" ht="33" outlineLevel="1" x14ac:dyDescent="0.25">
      <c r="A868" s="731"/>
      <c r="B868" s="733"/>
      <c r="C868" s="91" t="s">
        <v>515</v>
      </c>
      <c r="D868" s="52">
        <v>807712.36</v>
      </c>
      <c r="E868" s="105" t="s">
        <v>689</v>
      </c>
      <c r="F868" s="91" t="s">
        <v>690</v>
      </c>
      <c r="G868" s="149">
        <v>864126.98</v>
      </c>
      <c r="H868" s="75">
        <v>42583</v>
      </c>
      <c r="I868" s="290">
        <v>42551</v>
      </c>
      <c r="J868" s="52">
        <v>807712.36</v>
      </c>
    </row>
    <row r="869" spans="1:10" s="24" customFormat="1" ht="16.5" outlineLevel="1" x14ac:dyDescent="0.25">
      <c r="A869" s="731"/>
      <c r="B869" s="733"/>
      <c r="C869" s="91" t="s">
        <v>988</v>
      </c>
      <c r="D869" s="52">
        <v>46215.79</v>
      </c>
      <c r="E869" s="105" t="s">
        <v>989</v>
      </c>
      <c r="F869" s="91" t="s">
        <v>990</v>
      </c>
      <c r="G869" s="52">
        <v>46215.79</v>
      </c>
      <c r="H869" s="75"/>
      <c r="I869" s="291">
        <v>42604</v>
      </c>
      <c r="J869" s="52">
        <v>46215.79</v>
      </c>
    </row>
    <row r="870" spans="1:10" ht="49.5" outlineLevel="1" x14ac:dyDescent="0.25">
      <c r="A870" s="731"/>
      <c r="B870" s="733"/>
      <c r="C870" s="116" t="s">
        <v>37</v>
      </c>
      <c r="D870" s="59">
        <f>83123.31*1.18</f>
        <v>98085.505799999999</v>
      </c>
      <c r="E870" s="60" t="s">
        <v>559</v>
      </c>
      <c r="F870" s="60" t="s">
        <v>535</v>
      </c>
      <c r="G870" s="61">
        <f>83123.31*1.18</f>
        <v>98085.505799999999</v>
      </c>
      <c r="H870" s="62">
        <v>42458</v>
      </c>
      <c r="I870" s="62">
        <v>42408</v>
      </c>
      <c r="J870" s="63">
        <v>98085.51</v>
      </c>
    </row>
    <row r="871" spans="1:10" ht="17.25" outlineLevel="1" thickBot="1" x14ac:dyDescent="0.3">
      <c r="A871" s="686" t="s">
        <v>628</v>
      </c>
      <c r="B871" s="687"/>
      <c r="C871" s="156"/>
      <c r="D871" s="157">
        <f>SUM(D863:D870)</f>
        <v>8855591.9557999969</v>
      </c>
      <c r="E871" s="88"/>
      <c r="F871" s="88"/>
      <c r="G871" s="158">
        <f>SUM(G863:G870)</f>
        <v>9133656.9736623764</v>
      </c>
      <c r="H871" s="88"/>
      <c r="I871" s="130"/>
      <c r="J871" s="157">
        <f>SUM(J863:J870)</f>
        <v>7719906.4500000002</v>
      </c>
    </row>
    <row r="872" spans="1:10" s="4" customFormat="1" ht="33" x14ac:dyDescent="0.25">
      <c r="A872" s="734">
        <v>32</v>
      </c>
      <c r="B872" s="732" t="s">
        <v>200</v>
      </c>
      <c r="C872" s="70" t="s">
        <v>38</v>
      </c>
      <c r="D872" s="51">
        <v>554316.67000000004</v>
      </c>
      <c r="E872" s="70" t="s">
        <v>590</v>
      </c>
      <c r="F872" s="70" t="s">
        <v>589</v>
      </c>
      <c r="G872" s="148">
        <v>676364.22786237672</v>
      </c>
      <c r="H872" s="50">
        <v>42551</v>
      </c>
      <c r="I872" s="50">
        <v>42466</v>
      </c>
      <c r="J872" s="51">
        <v>533580.05999999994</v>
      </c>
    </row>
    <row r="873" spans="1:10" ht="33" outlineLevel="1" x14ac:dyDescent="0.25">
      <c r="A873" s="731"/>
      <c r="B873" s="733"/>
      <c r="C873" s="91" t="s">
        <v>34</v>
      </c>
      <c r="D873" s="52">
        <v>3366007.74</v>
      </c>
      <c r="E873" s="91" t="s">
        <v>658</v>
      </c>
      <c r="F873" s="91" t="s">
        <v>591</v>
      </c>
      <c r="G873" s="149">
        <v>3380455.74</v>
      </c>
      <c r="H873" s="75">
        <v>42582</v>
      </c>
      <c r="I873" s="290">
        <v>42561</v>
      </c>
      <c r="J873" s="52">
        <f>3366007.74-832067.4</f>
        <v>2533940.3400000003</v>
      </c>
    </row>
    <row r="874" spans="1:10" ht="33" outlineLevel="1" x14ac:dyDescent="0.25">
      <c r="A874" s="731"/>
      <c r="B874" s="733"/>
      <c r="C874" s="91" t="s">
        <v>35</v>
      </c>
      <c r="D874" s="52">
        <v>312671.35999999999</v>
      </c>
      <c r="E874" s="91" t="s">
        <v>658</v>
      </c>
      <c r="F874" s="91" t="s">
        <v>591</v>
      </c>
      <c r="G874" s="149">
        <v>360211.52</v>
      </c>
      <c r="H874" s="75">
        <v>42460</v>
      </c>
      <c r="I874" s="75">
        <v>42429</v>
      </c>
      <c r="J874" s="52">
        <v>312671.35999999999</v>
      </c>
    </row>
    <row r="875" spans="1:10" ht="33" outlineLevel="1" x14ac:dyDescent="0.25">
      <c r="A875" s="731"/>
      <c r="B875" s="733"/>
      <c r="C875" s="91" t="s">
        <v>36</v>
      </c>
      <c r="D875" s="52">
        <v>271131.81</v>
      </c>
      <c r="E875" s="91" t="s">
        <v>658</v>
      </c>
      <c r="F875" s="91" t="s">
        <v>591</v>
      </c>
      <c r="G875" s="149">
        <v>306874.34000000003</v>
      </c>
      <c r="H875" s="75">
        <v>42475</v>
      </c>
      <c r="I875" s="75">
        <v>42429</v>
      </c>
      <c r="J875" s="52">
        <v>271131.81</v>
      </c>
    </row>
    <row r="876" spans="1:10" ht="33" outlineLevel="1" x14ac:dyDescent="0.25">
      <c r="A876" s="731"/>
      <c r="B876" s="733"/>
      <c r="C876" s="91" t="s">
        <v>515</v>
      </c>
      <c r="D876" s="52">
        <v>806917.04</v>
      </c>
      <c r="E876" s="105" t="s">
        <v>689</v>
      </c>
      <c r="F876" s="91" t="s">
        <v>690</v>
      </c>
      <c r="G876" s="149">
        <v>857684.18</v>
      </c>
      <c r="H876" s="75">
        <v>42583</v>
      </c>
      <c r="I876" s="290">
        <v>42559</v>
      </c>
      <c r="J876" s="52">
        <v>806917.03999999992</v>
      </c>
    </row>
    <row r="877" spans="1:10" s="24" customFormat="1" ht="16.5" outlineLevel="1" x14ac:dyDescent="0.25">
      <c r="A877" s="731"/>
      <c r="B877" s="733"/>
      <c r="C877" s="91" t="s">
        <v>988</v>
      </c>
      <c r="D877" s="52">
        <v>45836.69</v>
      </c>
      <c r="E877" s="105" t="s">
        <v>989</v>
      </c>
      <c r="F877" s="91" t="s">
        <v>990</v>
      </c>
      <c r="G877" s="52">
        <v>45836.69</v>
      </c>
      <c r="H877" s="75"/>
      <c r="I877" s="291">
        <v>42604</v>
      </c>
      <c r="J877" s="52">
        <v>45836.69</v>
      </c>
    </row>
    <row r="878" spans="1:10" ht="49.5" outlineLevel="1" x14ac:dyDescent="0.25">
      <c r="A878" s="731"/>
      <c r="B878" s="733"/>
      <c r="C878" s="116" t="s">
        <v>37</v>
      </c>
      <c r="D878" s="59">
        <f>83123.31*1.18</f>
        <v>98085.505799999999</v>
      </c>
      <c r="E878" s="60" t="s">
        <v>559</v>
      </c>
      <c r="F878" s="60" t="s">
        <v>535</v>
      </c>
      <c r="G878" s="61">
        <f>83123.31*1.18</f>
        <v>98085.505799999999</v>
      </c>
      <c r="H878" s="62">
        <v>42458</v>
      </c>
      <c r="I878" s="62">
        <v>42408</v>
      </c>
      <c r="J878" s="63">
        <v>98085.51</v>
      </c>
    </row>
    <row r="879" spans="1:10" ht="17.25" outlineLevel="1" thickBot="1" x14ac:dyDescent="0.3">
      <c r="A879" s="724" t="s">
        <v>628</v>
      </c>
      <c r="B879" s="725"/>
      <c r="C879" s="164"/>
      <c r="D879" s="165">
        <f>SUM(D872:D878)</f>
        <v>5454966.8158000009</v>
      </c>
      <c r="E879" s="90"/>
      <c r="F879" s="90"/>
      <c r="G879" s="166">
        <f>SUM(G872:G878)</f>
        <v>5725512.2036623769</v>
      </c>
      <c r="H879" s="90"/>
      <c r="I879" s="108"/>
      <c r="J879" s="165">
        <f>SUM(J872:J878)</f>
        <v>4602162.8100000005</v>
      </c>
    </row>
    <row r="880" spans="1:10" s="4" customFormat="1" ht="33" x14ac:dyDescent="0.25">
      <c r="A880" s="734">
        <v>33</v>
      </c>
      <c r="B880" s="732" t="s">
        <v>201</v>
      </c>
      <c r="C880" s="70" t="s">
        <v>38</v>
      </c>
      <c r="D880" s="51">
        <v>668014.68999999994</v>
      </c>
      <c r="E880" s="70" t="s">
        <v>590</v>
      </c>
      <c r="F880" s="70" t="s">
        <v>589</v>
      </c>
      <c r="G880" s="148">
        <v>786796.55688490393</v>
      </c>
      <c r="H880" s="50">
        <v>42551</v>
      </c>
      <c r="I880" s="50">
        <v>42466</v>
      </c>
      <c r="J880" s="51">
        <v>647278.07999999996</v>
      </c>
    </row>
    <row r="881" spans="1:10" ht="33" outlineLevel="1" x14ac:dyDescent="0.25">
      <c r="A881" s="731"/>
      <c r="B881" s="733"/>
      <c r="C881" s="91" t="s">
        <v>34</v>
      </c>
      <c r="D881" s="52">
        <v>4776700.34</v>
      </c>
      <c r="E881" s="91" t="s">
        <v>658</v>
      </c>
      <c r="F881" s="91" t="s">
        <v>591</v>
      </c>
      <c r="G881" s="149">
        <v>4758984.84</v>
      </c>
      <c r="H881" s="75">
        <v>42582</v>
      </c>
      <c r="I881" s="290">
        <v>42561</v>
      </c>
      <c r="J881" s="52">
        <f>4776700.34-1591805.58</f>
        <v>3184894.76</v>
      </c>
    </row>
    <row r="882" spans="1:10" ht="33" outlineLevel="1" x14ac:dyDescent="0.25">
      <c r="A882" s="731"/>
      <c r="B882" s="733"/>
      <c r="C882" s="91" t="s">
        <v>35</v>
      </c>
      <c r="D882" s="52">
        <v>367896.72</v>
      </c>
      <c r="E882" s="91" t="s">
        <v>658</v>
      </c>
      <c r="F882" s="91" t="s">
        <v>591</v>
      </c>
      <c r="G882" s="149">
        <v>425316.84</v>
      </c>
      <c r="H882" s="75">
        <v>42460</v>
      </c>
      <c r="I882" s="75">
        <v>42429</v>
      </c>
      <c r="J882" s="52">
        <v>367896.72</v>
      </c>
    </row>
    <row r="883" spans="1:10" ht="33" outlineLevel="1" x14ac:dyDescent="0.25">
      <c r="A883" s="731"/>
      <c r="B883" s="733"/>
      <c r="C883" s="91" t="s">
        <v>36</v>
      </c>
      <c r="D883" s="52">
        <v>347074.26</v>
      </c>
      <c r="E883" s="91" t="s">
        <v>658</v>
      </c>
      <c r="F883" s="91" t="s">
        <v>591</v>
      </c>
      <c r="G883" s="149">
        <v>395971.42</v>
      </c>
      <c r="H883" s="75">
        <v>42475</v>
      </c>
      <c r="I883" s="75">
        <v>42429</v>
      </c>
      <c r="J883" s="52">
        <v>347074.26</v>
      </c>
    </row>
    <row r="884" spans="1:10" ht="33" outlineLevel="1" x14ac:dyDescent="0.25">
      <c r="A884" s="731"/>
      <c r="B884" s="733"/>
      <c r="C884" s="91" t="s">
        <v>500</v>
      </c>
      <c r="D884" s="52">
        <v>3680110.84</v>
      </c>
      <c r="E884" s="91" t="s">
        <v>627</v>
      </c>
      <c r="F884" s="91" t="s">
        <v>592</v>
      </c>
      <c r="G884" s="149">
        <v>3680110.84</v>
      </c>
      <c r="H884" s="75">
        <v>42459</v>
      </c>
      <c r="I884" s="75">
        <v>42454</v>
      </c>
      <c r="J884" s="52">
        <v>3087780.11</v>
      </c>
    </row>
    <row r="885" spans="1:10" ht="33" outlineLevel="1" x14ac:dyDescent="0.25">
      <c r="A885" s="731"/>
      <c r="B885" s="733"/>
      <c r="C885" s="91" t="s">
        <v>515</v>
      </c>
      <c r="D885" s="52">
        <v>1151456.98</v>
      </c>
      <c r="E885" s="105" t="s">
        <v>689</v>
      </c>
      <c r="F885" s="91" t="s">
        <v>690</v>
      </c>
      <c r="G885" s="149">
        <v>1259559.1399999999</v>
      </c>
      <c r="H885" s="75">
        <v>42583</v>
      </c>
      <c r="I885" s="290">
        <v>42566</v>
      </c>
      <c r="J885" s="52">
        <v>1151456.98</v>
      </c>
    </row>
    <row r="886" spans="1:10" s="24" customFormat="1" ht="16.5" outlineLevel="1" x14ac:dyDescent="0.25">
      <c r="A886" s="731"/>
      <c r="B886" s="733"/>
      <c r="C886" s="91" t="s">
        <v>988</v>
      </c>
      <c r="D886" s="52">
        <v>64528.61</v>
      </c>
      <c r="E886" s="105" t="s">
        <v>989</v>
      </c>
      <c r="F886" s="91" t="s">
        <v>990</v>
      </c>
      <c r="G886" s="52">
        <v>64528.61</v>
      </c>
      <c r="H886" s="75"/>
      <c r="I886" s="291">
        <v>42604</v>
      </c>
      <c r="J886" s="52">
        <v>64528.61</v>
      </c>
    </row>
    <row r="887" spans="1:10" ht="49.5" outlineLevel="1" x14ac:dyDescent="0.25">
      <c r="A887" s="731"/>
      <c r="B887" s="733"/>
      <c r="C887" s="116" t="s">
        <v>37</v>
      </c>
      <c r="D887" s="59">
        <f>87225.78*1.18</f>
        <v>102926.42039999999</v>
      </c>
      <c r="E887" s="60" t="s">
        <v>559</v>
      </c>
      <c r="F887" s="60" t="s">
        <v>535</v>
      </c>
      <c r="G887" s="61">
        <f>87225.78*1.18</f>
        <v>102926.42039999999</v>
      </c>
      <c r="H887" s="62">
        <v>42458</v>
      </c>
      <c r="I887" s="62">
        <v>42408</v>
      </c>
      <c r="J887" s="63">
        <v>102926.42</v>
      </c>
    </row>
    <row r="888" spans="1:10" ht="17.25" outlineLevel="1" thickBot="1" x14ac:dyDescent="0.3">
      <c r="A888" s="686" t="s">
        <v>628</v>
      </c>
      <c r="B888" s="687"/>
      <c r="C888" s="156"/>
      <c r="D888" s="157">
        <f>SUM(D880:D887)</f>
        <v>11158708.860399997</v>
      </c>
      <c r="E888" s="88"/>
      <c r="F888" s="88"/>
      <c r="G888" s="158">
        <f>SUM(G880:G887)</f>
        <v>11474194.667284902</v>
      </c>
      <c r="H888" s="88"/>
      <c r="I888" s="130"/>
      <c r="J888" s="157">
        <f>SUM(J880:J887)</f>
        <v>8953835.9399999995</v>
      </c>
    </row>
    <row r="889" spans="1:10" s="22" customFormat="1" ht="33" x14ac:dyDescent="0.25">
      <c r="A889" s="734">
        <v>34</v>
      </c>
      <c r="B889" s="732" t="s">
        <v>514</v>
      </c>
      <c r="C889" s="70" t="s">
        <v>500</v>
      </c>
      <c r="D889" s="51">
        <v>2839651.12</v>
      </c>
      <c r="E889" s="240" t="s">
        <v>1035</v>
      </c>
      <c r="F889" s="240" t="s">
        <v>695</v>
      </c>
      <c r="G889" s="241">
        <v>2839569.64</v>
      </c>
      <c r="H889" s="72">
        <v>42914</v>
      </c>
      <c r="I889" s="50">
        <v>42720</v>
      </c>
      <c r="J889" s="51">
        <v>2807692</v>
      </c>
    </row>
    <row r="890" spans="1:10" ht="33" outlineLevel="1" x14ac:dyDescent="0.25">
      <c r="A890" s="731"/>
      <c r="B890" s="733"/>
      <c r="C890" s="140" t="s">
        <v>501</v>
      </c>
      <c r="D890" s="121">
        <v>8575178</v>
      </c>
      <c r="E890" s="194" t="s">
        <v>1035</v>
      </c>
      <c r="F890" s="194" t="s">
        <v>695</v>
      </c>
      <c r="G890" s="121">
        <v>8574931.9499999993</v>
      </c>
      <c r="H890" s="55">
        <v>42914</v>
      </c>
      <c r="I890" s="56"/>
      <c r="J890" s="57"/>
    </row>
    <row r="891" spans="1:10" ht="49.5" outlineLevel="1" x14ac:dyDescent="0.25">
      <c r="A891" s="731"/>
      <c r="B891" s="733"/>
      <c r="C891" s="150" t="s">
        <v>37</v>
      </c>
      <c r="D891" s="151">
        <v>157621.22</v>
      </c>
      <c r="E891" s="152" t="s">
        <v>559</v>
      </c>
      <c r="F891" s="152" t="s">
        <v>535</v>
      </c>
      <c r="G891" s="153">
        <f>133577.3*1.18</f>
        <v>157621.21399999998</v>
      </c>
      <c r="H891" s="154">
        <v>42458</v>
      </c>
      <c r="I891" s="154">
        <v>42496</v>
      </c>
      <c r="J891" s="155">
        <v>157621.22</v>
      </c>
    </row>
    <row r="892" spans="1:10" ht="17.25" outlineLevel="1" thickBot="1" x14ac:dyDescent="0.3">
      <c r="A892" s="686" t="s">
        <v>628</v>
      </c>
      <c r="B892" s="687"/>
      <c r="C892" s="156"/>
      <c r="D892" s="157">
        <f>SUM(D889:D891)</f>
        <v>11572450.340000002</v>
      </c>
      <c r="E892" s="88"/>
      <c r="F892" s="88"/>
      <c r="G892" s="158">
        <f>SUM(G889:G891)</f>
        <v>11572122.804</v>
      </c>
      <c r="H892" s="88"/>
      <c r="I892" s="130"/>
      <c r="J892" s="157">
        <f t="shared" ref="J892" si="12">SUM(J889:J891)</f>
        <v>2965313.22</v>
      </c>
    </row>
    <row r="893" spans="1:10" s="4" customFormat="1" ht="33" x14ac:dyDescent="0.25">
      <c r="A893" s="734">
        <v>35</v>
      </c>
      <c r="B893" s="732" t="s">
        <v>202</v>
      </c>
      <c r="C893" s="70" t="s">
        <v>38</v>
      </c>
      <c r="D893" s="51">
        <v>482771.84</v>
      </c>
      <c r="E893" s="70" t="s">
        <v>590</v>
      </c>
      <c r="F893" s="70" t="s">
        <v>589</v>
      </c>
      <c r="G893" s="148">
        <v>533685.73351097037</v>
      </c>
      <c r="H893" s="50">
        <v>42551</v>
      </c>
      <c r="I893" s="50">
        <v>42537</v>
      </c>
      <c r="J893" s="295">
        <v>482771.84</v>
      </c>
    </row>
    <row r="894" spans="1:10" ht="33" outlineLevel="1" x14ac:dyDescent="0.25">
      <c r="A894" s="731"/>
      <c r="B894" s="733"/>
      <c r="C894" s="91" t="s">
        <v>34</v>
      </c>
      <c r="D894" s="52">
        <v>2244248.6</v>
      </c>
      <c r="E894" s="91" t="s">
        <v>657</v>
      </c>
      <c r="F894" s="91" t="s">
        <v>591</v>
      </c>
      <c r="G894" s="149">
        <v>2255885.06</v>
      </c>
      <c r="H894" s="75">
        <v>42551</v>
      </c>
      <c r="I894" s="75">
        <v>42543</v>
      </c>
      <c r="J894" s="52">
        <v>2244248.6</v>
      </c>
    </row>
    <row r="895" spans="1:10" ht="33" outlineLevel="1" x14ac:dyDescent="0.25">
      <c r="A895" s="731"/>
      <c r="B895" s="733"/>
      <c r="C895" s="91" t="s">
        <v>35</v>
      </c>
      <c r="D895" s="52">
        <v>259660.04</v>
      </c>
      <c r="E895" s="91" t="s">
        <v>657</v>
      </c>
      <c r="F895" s="91" t="s">
        <v>591</v>
      </c>
      <c r="G895" s="149">
        <v>300875.21999999997</v>
      </c>
      <c r="H895" s="75">
        <v>42415</v>
      </c>
      <c r="I895" s="75">
        <v>42415</v>
      </c>
      <c r="J895" s="52">
        <v>259660.04</v>
      </c>
    </row>
    <row r="896" spans="1:10" ht="33" outlineLevel="1" x14ac:dyDescent="0.25">
      <c r="A896" s="731"/>
      <c r="B896" s="733"/>
      <c r="C896" s="91" t="s">
        <v>36</v>
      </c>
      <c r="D896" s="52">
        <v>341691.69</v>
      </c>
      <c r="E896" s="91" t="s">
        <v>657</v>
      </c>
      <c r="F896" s="91" t="s">
        <v>591</v>
      </c>
      <c r="G896" s="149">
        <v>348969.66</v>
      </c>
      <c r="H896" s="75">
        <v>42429</v>
      </c>
      <c r="I896" s="75">
        <v>42415</v>
      </c>
      <c r="J896" s="52">
        <v>341691.69000000006</v>
      </c>
    </row>
    <row r="897" spans="1:10" ht="33" outlineLevel="1" x14ac:dyDescent="0.25">
      <c r="A897" s="731"/>
      <c r="B897" s="733"/>
      <c r="C897" s="91" t="s">
        <v>500</v>
      </c>
      <c r="D897" s="52">
        <v>4270357.03</v>
      </c>
      <c r="E897" s="91" t="s">
        <v>659</v>
      </c>
      <c r="F897" s="91" t="s">
        <v>593</v>
      </c>
      <c r="G897" s="149">
        <v>4308124.5</v>
      </c>
      <c r="H897" s="75">
        <v>42459</v>
      </c>
      <c r="I897" s="75">
        <v>42459</v>
      </c>
      <c r="J897" s="52">
        <v>4270357.03</v>
      </c>
    </row>
    <row r="898" spans="1:10" ht="33" outlineLevel="1" x14ac:dyDescent="0.25">
      <c r="A898" s="731"/>
      <c r="B898" s="733"/>
      <c r="C898" s="91" t="s">
        <v>515</v>
      </c>
      <c r="D898" s="52">
        <v>741993.44</v>
      </c>
      <c r="E898" s="105" t="s">
        <v>689</v>
      </c>
      <c r="F898" s="91" t="s">
        <v>690</v>
      </c>
      <c r="G898" s="149">
        <v>770243.82</v>
      </c>
      <c r="H898" s="75">
        <v>42583</v>
      </c>
      <c r="I898" s="290">
        <v>42551</v>
      </c>
      <c r="J898" s="52">
        <v>741993.44</v>
      </c>
    </row>
    <row r="899" spans="1:10" s="24" customFormat="1" ht="16.5" outlineLevel="1" x14ac:dyDescent="0.25">
      <c r="A899" s="731"/>
      <c r="B899" s="733"/>
      <c r="C899" s="91" t="s">
        <v>988</v>
      </c>
      <c r="D899" s="52">
        <v>30588.27</v>
      </c>
      <c r="E899" s="105" t="s">
        <v>989</v>
      </c>
      <c r="F899" s="91" t="s">
        <v>990</v>
      </c>
      <c r="G899" s="52">
        <v>30588.27</v>
      </c>
      <c r="H899" s="75"/>
      <c r="I899" s="291">
        <v>42604</v>
      </c>
      <c r="J899" s="52">
        <v>30588.27</v>
      </c>
    </row>
    <row r="900" spans="1:10" ht="49.5" outlineLevel="1" x14ac:dyDescent="0.25">
      <c r="A900" s="731"/>
      <c r="B900" s="733"/>
      <c r="C900" s="116" t="s">
        <v>37</v>
      </c>
      <c r="D900" s="59">
        <v>89760.41</v>
      </c>
      <c r="E900" s="60" t="s">
        <v>559</v>
      </c>
      <c r="F900" s="60" t="s">
        <v>535</v>
      </c>
      <c r="G900" s="61">
        <f>76086.14*1.18</f>
        <v>89781.645199999999</v>
      </c>
      <c r="H900" s="62">
        <v>42458</v>
      </c>
      <c r="I900" s="62">
        <v>42408</v>
      </c>
      <c r="J900" s="63">
        <v>89760.41</v>
      </c>
    </row>
    <row r="901" spans="1:10" ht="17.25" outlineLevel="1" thickBot="1" x14ac:dyDescent="0.3">
      <c r="A901" s="686" t="s">
        <v>628</v>
      </c>
      <c r="B901" s="687"/>
      <c r="C901" s="156"/>
      <c r="D901" s="157">
        <f>SUM(D893:D900)</f>
        <v>8461071.3200000003</v>
      </c>
      <c r="E901" s="88"/>
      <c r="F901" s="88"/>
      <c r="G901" s="158">
        <f>SUM(G893:G900)</f>
        <v>8638153.9087109696</v>
      </c>
      <c r="H901" s="88"/>
      <c r="I901" s="130"/>
      <c r="J901" s="157">
        <f>SUM(J893:J900)</f>
        <v>8461071.3200000003</v>
      </c>
    </row>
    <row r="902" spans="1:10" s="7" customFormat="1" ht="19.5" customHeight="1" outlineLevel="1" thickBot="1" x14ac:dyDescent="0.3">
      <c r="A902" s="196"/>
      <c r="B902" s="783" t="s">
        <v>1008</v>
      </c>
      <c r="C902" s="784"/>
      <c r="D902" s="197">
        <v>3228714.1</v>
      </c>
      <c r="E902" s="198"/>
      <c r="F902" s="199"/>
      <c r="G902" s="200">
        <f>SUM(G903:G914)</f>
        <v>3228714.1</v>
      </c>
      <c r="H902" s="201"/>
      <c r="I902" s="202"/>
      <c r="J902" s="200">
        <f>SUM(J903:J914)</f>
        <v>2513002.9500000002</v>
      </c>
    </row>
    <row r="903" spans="1:10" s="7" customFormat="1" ht="24.75" customHeight="1" outlineLevel="1" x14ac:dyDescent="0.25">
      <c r="A903" s="285"/>
      <c r="B903" s="267" t="s">
        <v>1273</v>
      </c>
      <c r="C903" s="598" t="s">
        <v>37</v>
      </c>
      <c r="D903" s="536"/>
      <c r="E903" s="708" t="s">
        <v>1285</v>
      </c>
      <c r="F903" s="710" t="s">
        <v>1286</v>
      </c>
      <c r="G903" s="104">
        <v>350593.67</v>
      </c>
      <c r="H903" s="676">
        <v>42801</v>
      </c>
      <c r="I903" s="675">
        <v>42853</v>
      </c>
      <c r="J903" s="73">
        <v>297113.28000000003</v>
      </c>
    </row>
    <row r="904" spans="1:10" s="7" customFormat="1" ht="33.75" customHeight="1" outlineLevel="1" x14ac:dyDescent="0.25">
      <c r="A904" s="285" t="s">
        <v>1337</v>
      </c>
      <c r="B904" s="297" t="s">
        <v>1274</v>
      </c>
      <c r="C904" s="599" t="s">
        <v>37</v>
      </c>
      <c r="D904" s="186"/>
      <c r="E904" s="708"/>
      <c r="F904" s="710"/>
      <c r="G904" s="73">
        <v>102048.57</v>
      </c>
      <c r="H904" s="676"/>
      <c r="I904" s="678"/>
      <c r="J904" s="186"/>
    </row>
    <row r="905" spans="1:10" s="7" customFormat="1" ht="19.5" customHeight="1" outlineLevel="1" x14ac:dyDescent="0.25">
      <c r="A905" s="285"/>
      <c r="B905" s="247" t="s">
        <v>1275</v>
      </c>
      <c r="C905" s="599" t="s">
        <v>37</v>
      </c>
      <c r="D905" s="186"/>
      <c r="E905" s="708"/>
      <c r="F905" s="710"/>
      <c r="G905" s="73">
        <v>461775.68</v>
      </c>
      <c r="H905" s="676"/>
      <c r="I905" s="678"/>
      <c r="J905" s="73">
        <v>391335.32</v>
      </c>
    </row>
    <row r="906" spans="1:10" s="7" customFormat="1" ht="19.5" customHeight="1" outlineLevel="1" x14ac:dyDescent="0.25">
      <c r="A906" s="285"/>
      <c r="B906" s="247" t="s">
        <v>1276</v>
      </c>
      <c r="C906" s="599" t="s">
        <v>37</v>
      </c>
      <c r="D906" s="186"/>
      <c r="E906" s="708"/>
      <c r="F906" s="710"/>
      <c r="G906" s="73">
        <v>98634.16</v>
      </c>
      <c r="H906" s="676"/>
      <c r="I906" s="678"/>
      <c r="J906" s="73">
        <v>83588.27</v>
      </c>
    </row>
    <row r="907" spans="1:10" s="7" customFormat="1" ht="19.5" customHeight="1" outlineLevel="1" x14ac:dyDescent="0.25">
      <c r="A907" s="285"/>
      <c r="B907" s="247" t="s">
        <v>1277</v>
      </c>
      <c r="C907" s="599" t="s">
        <v>37</v>
      </c>
      <c r="D907" s="186"/>
      <c r="E907" s="708"/>
      <c r="F907" s="710"/>
      <c r="G907" s="73">
        <v>69623.08</v>
      </c>
      <c r="H907" s="676"/>
      <c r="I907" s="678"/>
      <c r="J907" s="73">
        <v>59002.61</v>
      </c>
    </row>
    <row r="908" spans="1:10" s="7" customFormat="1" ht="33.75" customHeight="1" outlineLevel="1" x14ac:dyDescent="0.25">
      <c r="A908" s="285"/>
      <c r="B908" s="247" t="s">
        <v>1278</v>
      </c>
      <c r="C908" s="599" t="s">
        <v>37</v>
      </c>
      <c r="D908" s="186"/>
      <c r="E908" s="708"/>
      <c r="F908" s="710"/>
      <c r="G908" s="73">
        <v>294838.59999999998</v>
      </c>
      <c r="H908" s="676"/>
      <c r="I908" s="678"/>
      <c r="J908" s="73">
        <v>249863.22</v>
      </c>
    </row>
    <row r="909" spans="1:10" s="7" customFormat="1" ht="36" customHeight="1" outlineLevel="1" x14ac:dyDescent="0.25">
      <c r="A909" s="285"/>
      <c r="B909" s="247" t="s">
        <v>1279</v>
      </c>
      <c r="C909" s="599" t="s">
        <v>37</v>
      </c>
      <c r="D909" s="186"/>
      <c r="E909" s="708"/>
      <c r="F909" s="710"/>
      <c r="G909" s="73">
        <v>288784.27</v>
      </c>
      <c r="H909" s="676"/>
      <c r="I909" s="678"/>
      <c r="J909" s="73">
        <v>244732.43</v>
      </c>
    </row>
    <row r="910" spans="1:10" s="7" customFormat="1" ht="37.5" customHeight="1" outlineLevel="1" x14ac:dyDescent="0.25">
      <c r="A910" s="285"/>
      <c r="B910" s="247" t="s">
        <v>1280</v>
      </c>
      <c r="C910" s="599" t="s">
        <v>37</v>
      </c>
      <c r="D910" s="186"/>
      <c r="E910" s="708"/>
      <c r="F910" s="710"/>
      <c r="G910" s="73">
        <v>266653.21000000002</v>
      </c>
      <c r="H910" s="676"/>
      <c r="I910" s="678"/>
      <c r="J910" s="73">
        <v>225977.3</v>
      </c>
    </row>
    <row r="911" spans="1:10" s="7" customFormat="1" ht="36" customHeight="1" outlineLevel="1" x14ac:dyDescent="0.25">
      <c r="A911" s="285"/>
      <c r="B911" s="247" t="s">
        <v>1281</v>
      </c>
      <c r="C911" s="599" t="s">
        <v>37</v>
      </c>
      <c r="D911" s="186"/>
      <c r="E911" s="708"/>
      <c r="F911" s="710"/>
      <c r="G911" s="73">
        <v>277086.15999999997</v>
      </c>
      <c r="H911" s="676"/>
      <c r="I911" s="678"/>
      <c r="J911" s="73">
        <v>234818.78</v>
      </c>
    </row>
    <row r="912" spans="1:10" s="7" customFormat="1" ht="33" customHeight="1" outlineLevel="1" x14ac:dyDescent="0.25">
      <c r="A912" s="285"/>
      <c r="B912" s="247" t="s">
        <v>1282</v>
      </c>
      <c r="C912" s="599" t="s">
        <v>37</v>
      </c>
      <c r="D912" s="186"/>
      <c r="E912" s="708"/>
      <c r="F912" s="710"/>
      <c r="G912" s="73">
        <v>339142.81</v>
      </c>
      <c r="H912" s="676"/>
      <c r="I912" s="678"/>
      <c r="J912" s="73">
        <v>287409.15999999997</v>
      </c>
    </row>
    <row r="913" spans="1:10" s="7" customFormat="1" ht="30" customHeight="1" outlineLevel="1" x14ac:dyDescent="0.25">
      <c r="A913" s="285"/>
      <c r="B913" s="247" t="s">
        <v>1283</v>
      </c>
      <c r="C913" s="599" t="s">
        <v>37</v>
      </c>
      <c r="D913" s="186"/>
      <c r="E913" s="708"/>
      <c r="F913" s="710"/>
      <c r="G913" s="73">
        <v>255939.71</v>
      </c>
      <c r="H913" s="676"/>
      <c r="I913" s="678"/>
      <c r="J913" s="73">
        <v>216898.06</v>
      </c>
    </row>
    <row r="914" spans="1:10" s="7" customFormat="1" ht="27.75" customHeight="1" outlineLevel="1" thickBot="1" x14ac:dyDescent="0.3">
      <c r="A914" s="285"/>
      <c r="B914" s="271" t="s">
        <v>1284</v>
      </c>
      <c r="C914" s="602" t="s">
        <v>37</v>
      </c>
      <c r="D914" s="537"/>
      <c r="E914" s="708"/>
      <c r="F914" s="710"/>
      <c r="G914" s="127">
        <v>423594.18</v>
      </c>
      <c r="H914" s="676"/>
      <c r="I914" s="678"/>
      <c r="J914" s="93">
        <v>222264.52</v>
      </c>
    </row>
    <row r="915" spans="1:10" ht="17.25" outlineLevel="1" thickBot="1" x14ac:dyDescent="0.3">
      <c r="A915" s="738" t="s">
        <v>629</v>
      </c>
      <c r="B915" s="739"/>
      <c r="C915" s="44"/>
      <c r="D915" s="43">
        <f>SUM(D901,D892,D888,D879,D871,D862,D853,D845,D837,D829,D819,D809,D799,D797,D794,D791,D788,D786,D783,D780,D775,D772,D769,D766,D763,D760,D752,D744,D736,D733,D731,D729,D721,D712,D777,D902)</f>
        <v>271917124.74520004</v>
      </c>
      <c r="E915" s="44"/>
      <c r="F915" s="44"/>
      <c r="G915" s="45">
        <f>SUM(G901,G892,G888,G879,G871,G862,G853,G845,G837,G829,G819,G809,G799,G797,G794,G791,G788,G786,G783,G780,G775,G772,G769,G766,G763,G760,G752,G744,G736,G733,G731,G729,G721,G712,G902,G777)</f>
        <v>298815527.19189006</v>
      </c>
      <c r="H915" s="44"/>
      <c r="I915" s="205"/>
      <c r="J915" s="192">
        <f>SUM(J902,J901,J892,J888,J879,J871,J862,J853,J845,J837,J829,J819,J809,J799,J797,J794,J791,J788,J786,J783,J780,J775,J777,J772,J769,J766,J763,J760,J752,J744,J736,J733,J731,J729,J721,J712)</f>
        <v>236857047.43999997</v>
      </c>
    </row>
    <row r="916" spans="1:10" s="4" customFormat="1" ht="24.75" customHeight="1" thickBot="1" x14ac:dyDescent="0.3">
      <c r="A916" s="772" t="s">
        <v>640</v>
      </c>
      <c r="B916" s="773"/>
      <c r="C916" s="773"/>
      <c r="D916" s="773"/>
      <c r="E916" s="773"/>
      <c r="F916" s="773"/>
      <c r="G916" s="773"/>
      <c r="H916" s="773"/>
      <c r="I916" s="773"/>
      <c r="J916" s="773"/>
    </row>
    <row r="917" spans="1:10" s="4" customFormat="1" ht="33" x14ac:dyDescent="0.25">
      <c r="A917" s="730">
        <v>1</v>
      </c>
      <c r="B917" s="735" t="s">
        <v>222</v>
      </c>
      <c r="C917" s="105" t="s">
        <v>500</v>
      </c>
      <c r="D917" s="107">
        <v>2552914.46</v>
      </c>
      <c r="E917" s="105" t="s">
        <v>774</v>
      </c>
      <c r="F917" s="70" t="s">
        <v>773</v>
      </c>
      <c r="G917" s="226">
        <v>2636235.65</v>
      </c>
      <c r="H917" s="76">
        <v>42556</v>
      </c>
      <c r="I917" s="76">
        <v>42565</v>
      </c>
      <c r="J917" s="107">
        <v>2552914.46</v>
      </c>
    </row>
    <row r="918" spans="1:10" ht="33" outlineLevel="1" x14ac:dyDescent="0.25">
      <c r="A918" s="731"/>
      <c r="B918" s="733"/>
      <c r="C918" s="150" t="s">
        <v>37</v>
      </c>
      <c r="D918" s="151">
        <v>87237.79</v>
      </c>
      <c r="E918" s="152" t="s">
        <v>563</v>
      </c>
      <c r="F918" s="152" t="s">
        <v>541</v>
      </c>
      <c r="G918" s="153">
        <v>87238.28</v>
      </c>
      <c r="H918" s="154">
        <v>42429</v>
      </c>
      <c r="I918" s="154">
        <v>42593</v>
      </c>
      <c r="J918" s="155">
        <v>87238.284999999974</v>
      </c>
    </row>
    <row r="919" spans="1:10" ht="17.25" outlineLevel="1" thickBot="1" x14ac:dyDescent="0.3">
      <c r="A919" s="686" t="s">
        <v>628</v>
      </c>
      <c r="B919" s="687"/>
      <c r="C919" s="156"/>
      <c r="D919" s="157">
        <f>SUM(D917:D918)</f>
        <v>2640152.25</v>
      </c>
      <c r="E919" s="88"/>
      <c r="F919" s="88"/>
      <c r="G919" s="158">
        <f>SUM(G917:G918)</f>
        <v>2723473.9299999997</v>
      </c>
      <c r="H919" s="88"/>
      <c r="I919" s="130"/>
      <c r="J919" s="157">
        <f t="shared" ref="J919" si="13">SUM(J917:J918)</f>
        <v>2640152.7450000001</v>
      </c>
    </row>
    <row r="920" spans="1:10" s="4" customFormat="1" ht="33" x14ac:dyDescent="0.25">
      <c r="A920" s="734">
        <v>2</v>
      </c>
      <c r="B920" s="732" t="s">
        <v>223</v>
      </c>
      <c r="C920" s="70" t="s">
        <v>500</v>
      </c>
      <c r="D920" s="51">
        <v>2612747.5499999998</v>
      </c>
      <c r="E920" s="70" t="s">
        <v>774</v>
      </c>
      <c r="F920" s="70" t="s">
        <v>773</v>
      </c>
      <c r="G920" s="148">
        <v>2665764.35</v>
      </c>
      <c r="H920" s="50">
        <v>42556</v>
      </c>
      <c r="I920" s="50">
        <v>42565</v>
      </c>
      <c r="J920" s="51">
        <v>2612747.5499999998</v>
      </c>
    </row>
    <row r="921" spans="1:10" ht="33" outlineLevel="1" x14ac:dyDescent="0.25">
      <c r="A921" s="731"/>
      <c r="B921" s="733"/>
      <c r="C921" s="150" t="s">
        <v>37</v>
      </c>
      <c r="D921" s="151">
        <v>87237.79</v>
      </c>
      <c r="E921" s="152" t="s">
        <v>563</v>
      </c>
      <c r="F921" s="152" t="s">
        <v>541</v>
      </c>
      <c r="G921" s="153">
        <v>87238.28</v>
      </c>
      <c r="H921" s="154">
        <v>42429</v>
      </c>
      <c r="I921" s="154">
        <v>42593</v>
      </c>
      <c r="J921" s="155">
        <v>87238.284999999974</v>
      </c>
    </row>
    <row r="922" spans="1:10" ht="17.25" outlineLevel="1" thickBot="1" x14ac:dyDescent="0.3">
      <c r="A922" s="686" t="s">
        <v>628</v>
      </c>
      <c r="B922" s="687"/>
      <c r="C922" s="156"/>
      <c r="D922" s="157">
        <f>SUM(D920:D921)</f>
        <v>2699985.34</v>
      </c>
      <c r="E922" s="65"/>
      <c r="F922" s="65"/>
      <c r="G922" s="158">
        <f>SUM(G920:G921)</f>
        <v>2753002.63</v>
      </c>
      <c r="H922" s="65"/>
      <c r="I922" s="67"/>
      <c r="J922" s="157">
        <f t="shared" ref="J922" si="14">SUM(J920:J921)</f>
        <v>2699985.835</v>
      </c>
    </row>
    <row r="923" spans="1:10" s="4" customFormat="1" ht="16.5" x14ac:dyDescent="0.25">
      <c r="A923" s="734">
        <v>3</v>
      </c>
      <c r="B923" s="732" t="s">
        <v>211</v>
      </c>
      <c r="C923" s="159" t="s">
        <v>508</v>
      </c>
      <c r="D923" s="160">
        <v>3888694.72</v>
      </c>
      <c r="E923" s="81" t="s">
        <v>1150</v>
      </c>
      <c r="F923" s="81" t="s">
        <v>787</v>
      </c>
      <c r="G923" s="209">
        <v>3887000</v>
      </c>
      <c r="H923" s="83">
        <v>42941</v>
      </c>
      <c r="I923" s="163"/>
      <c r="J923" s="82"/>
    </row>
    <row r="924" spans="1:10" s="4" customFormat="1" ht="33" x14ac:dyDescent="0.25">
      <c r="A924" s="731"/>
      <c r="B924" s="733"/>
      <c r="C924" s="150" t="s">
        <v>37</v>
      </c>
      <c r="D924" s="151">
        <v>84540.86</v>
      </c>
      <c r="E924" s="152" t="s">
        <v>540</v>
      </c>
      <c r="F924" s="152" t="s">
        <v>541</v>
      </c>
      <c r="G924" s="153">
        <v>84540.86</v>
      </c>
      <c r="H924" s="154">
        <v>42353</v>
      </c>
      <c r="I924" s="154">
        <v>42640</v>
      </c>
      <c r="J924" s="155"/>
    </row>
    <row r="925" spans="1:10" ht="17.25" outlineLevel="1" thickBot="1" x14ac:dyDescent="0.3">
      <c r="A925" s="686" t="s">
        <v>628</v>
      </c>
      <c r="B925" s="687"/>
      <c r="C925" s="156"/>
      <c r="D925" s="157">
        <f>SUM(D923:D924)</f>
        <v>3973235.58</v>
      </c>
      <c r="E925" s="88"/>
      <c r="F925" s="88"/>
      <c r="G925" s="158">
        <f>SUM(G923:G924)</f>
        <v>3971540.86</v>
      </c>
      <c r="H925" s="88"/>
      <c r="I925" s="130"/>
      <c r="J925" s="157">
        <f t="shared" ref="J925" si="15">SUM(J923:J924)</f>
        <v>0</v>
      </c>
    </row>
    <row r="926" spans="1:10" s="4" customFormat="1" ht="15" customHeight="1" x14ac:dyDescent="0.25">
      <c r="A926" s="734">
        <v>4</v>
      </c>
      <c r="B926" s="732" t="s">
        <v>212</v>
      </c>
      <c r="C926" s="70" t="s">
        <v>38</v>
      </c>
      <c r="D926" s="51">
        <v>2075395.85</v>
      </c>
      <c r="E926" s="690" t="s">
        <v>740</v>
      </c>
      <c r="F926" s="690" t="s">
        <v>741</v>
      </c>
      <c r="G926" s="148">
        <v>2075395.85</v>
      </c>
      <c r="H926" s="50">
        <v>42551</v>
      </c>
      <c r="I926" s="675">
        <v>42745</v>
      </c>
      <c r="J926" s="51">
        <v>1702866</v>
      </c>
    </row>
    <row r="927" spans="1:10" ht="16.5" customHeight="1" outlineLevel="1" x14ac:dyDescent="0.25">
      <c r="A927" s="731"/>
      <c r="B927" s="733"/>
      <c r="C927" s="91" t="s">
        <v>34</v>
      </c>
      <c r="D927" s="52">
        <v>3252812.08</v>
      </c>
      <c r="E927" s="681"/>
      <c r="F927" s="681"/>
      <c r="G927" s="149">
        <v>3252812.08</v>
      </c>
      <c r="H927" s="75">
        <v>42581</v>
      </c>
      <c r="I927" s="676"/>
      <c r="J927" s="52">
        <v>2962930</v>
      </c>
    </row>
    <row r="928" spans="1:10" ht="16.5" outlineLevel="1" x14ac:dyDescent="0.25">
      <c r="A928" s="731"/>
      <c r="B928" s="733"/>
      <c r="C928" s="91" t="s">
        <v>35</v>
      </c>
      <c r="D928" s="52">
        <v>680444.33</v>
      </c>
      <c r="E928" s="681"/>
      <c r="F928" s="681"/>
      <c r="G928" s="149">
        <v>680444.33</v>
      </c>
      <c r="H928" s="713">
        <v>42551</v>
      </c>
      <c r="I928" s="676"/>
      <c r="J928" s="52">
        <v>655279</v>
      </c>
    </row>
    <row r="929" spans="1:10" ht="16.5" outlineLevel="1" x14ac:dyDescent="0.25">
      <c r="A929" s="731"/>
      <c r="B929" s="733"/>
      <c r="C929" s="91" t="s">
        <v>36</v>
      </c>
      <c r="D929" s="52">
        <v>544489.6</v>
      </c>
      <c r="E929" s="681"/>
      <c r="F929" s="681"/>
      <c r="G929" s="149">
        <v>544489.6</v>
      </c>
      <c r="H929" s="677"/>
      <c r="I929" s="676"/>
      <c r="J929" s="52">
        <v>543786</v>
      </c>
    </row>
    <row r="930" spans="1:10" ht="16.5" outlineLevel="1" x14ac:dyDescent="0.25">
      <c r="A930" s="731"/>
      <c r="B930" s="733"/>
      <c r="C930" s="91" t="s">
        <v>500</v>
      </c>
      <c r="D930" s="52">
        <v>3730987.16</v>
      </c>
      <c r="E930" s="682"/>
      <c r="F930" s="682"/>
      <c r="G930" s="149">
        <v>3730987.16</v>
      </c>
      <c r="H930" s="75">
        <v>42535</v>
      </c>
      <c r="I930" s="677"/>
      <c r="J930" s="52">
        <v>3711592</v>
      </c>
    </row>
    <row r="931" spans="1:10" ht="33" outlineLevel="1" x14ac:dyDescent="0.25">
      <c r="A931" s="731"/>
      <c r="B931" s="733"/>
      <c r="C931" s="116" t="s">
        <v>37</v>
      </c>
      <c r="D931" s="59">
        <f>276688.55*1.18</f>
        <v>326492.48899999994</v>
      </c>
      <c r="E931" s="60" t="s">
        <v>540</v>
      </c>
      <c r="F931" s="60" t="s">
        <v>543</v>
      </c>
      <c r="G931" s="61">
        <v>325122.78000000003</v>
      </c>
      <c r="H931" s="62">
        <v>42353</v>
      </c>
      <c r="I931" s="62">
        <v>42353</v>
      </c>
      <c r="J931" s="63">
        <v>326492.49</v>
      </c>
    </row>
    <row r="932" spans="1:10" ht="17.25" outlineLevel="1" thickBot="1" x14ac:dyDescent="0.3">
      <c r="A932" s="724" t="s">
        <v>628</v>
      </c>
      <c r="B932" s="725"/>
      <c r="C932" s="164"/>
      <c r="D932" s="165">
        <f>SUM(D926:D931)</f>
        <v>10610621.509</v>
      </c>
      <c r="E932" s="90"/>
      <c r="F932" s="90"/>
      <c r="G932" s="166">
        <f>SUM(G926:G931)</f>
        <v>10609251.799999999</v>
      </c>
      <c r="H932" s="90"/>
      <c r="I932" s="108"/>
      <c r="J932" s="165">
        <f>SUM(J926:J931)</f>
        <v>9902945.4900000002</v>
      </c>
    </row>
    <row r="933" spans="1:10" s="4" customFormat="1" ht="33" x14ac:dyDescent="0.25">
      <c r="A933" s="734">
        <v>5</v>
      </c>
      <c r="B933" s="732" t="s">
        <v>213</v>
      </c>
      <c r="C933" s="70" t="s">
        <v>38</v>
      </c>
      <c r="D933" s="51">
        <v>607123.32999999996</v>
      </c>
      <c r="E933" s="70" t="s">
        <v>940</v>
      </c>
      <c r="F933" s="70" t="s">
        <v>941</v>
      </c>
      <c r="G933" s="51">
        <v>619265.44999999995</v>
      </c>
      <c r="H933" s="50">
        <v>42627</v>
      </c>
      <c r="I933" s="72">
        <v>42685</v>
      </c>
      <c r="J933" s="51">
        <v>607123.32999999996</v>
      </c>
    </row>
    <row r="934" spans="1:10" ht="33" outlineLevel="1" x14ac:dyDescent="0.25">
      <c r="A934" s="731"/>
      <c r="B934" s="733"/>
      <c r="C934" s="91" t="s">
        <v>34</v>
      </c>
      <c r="D934" s="52">
        <v>4209235.45</v>
      </c>
      <c r="E934" s="91" t="s">
        <v>940</v>
      </c>
      <c r="F934" s="91" t="s">
        <v>941</v>
      </c>
      <c r="G934" s="52">
        <v>4331217.4000000004</v>
      </c>
      <c r="H934" s="75">
        <v>42627</v>
      </c>
      <c r="I934" s="75">
        <v>42685</v>
      </c>
      <c r="J934" s="52">
        <v>4209235.45</v>
      </c>
    </row>
    <row r="935" spans="1:10" ht="33" outlineLevel="1" x14ac:dyDescent="0.25">
      <c r="A935" s="731"/>
      <c r="B935" s="733"/>
      <c r="C935" s="91" t="s">
        <v>35</v>
      </c>
      <c r="D935" s="52">
        <v>660983.61</v>
      </c>
      <c r="E935" s="91" t="s">
        <v>940</v>
      </c>
      <c r="F935" s="91" t="s">
        <v>941</v>
      </c>
      <c r="G935" s="52">
        <v>674203.29</v>
      </c>
      <c r="H935" s="75">
        <v>42627</v>
      </c>
      <c r="I935" s="75">
        <v>42685</v>
      </c>
      <c r="J935" s="52">
        <v>660983.61</v>
      </c>
    </row>
    <row r="936" spans="1:10" ht="33" outlineLevel="1" x14ac:dyDescent="0.25">
      <c r="A936" s="731"/>
      <c r="B936" s="733"/>
      <c r="C936" s="91" t="s">
        <v>36</v>
      </c>
      <c r="D936" s="52">
        <v>548593.28</v>
      </c>
      <c r="E936" s="91" t="s">
        <v>940</v>
      </c>
      <c r="F936" s="91" t="s">
        <v>941</v>
      </c>
      <c r="G936" s="52">
        <v>559565.35</v>
      </c>
      <c r="H936" s="75">
        <v>42627</v>
      </c>
      <c r="I936" s="76">
        <v>42685</v>
      </c>
      <c r="J936" s="52">
        <v>548593.28</v>
      </c>
    </row>
    <row r="937" spans="1:10" ht="33" outlineLevel="1" x14ac:dyDescent="0.25">
      <c r="A937" s="731"/>
      <c r="B937" s="733"/>
      <c r="C937" s="91" t="s">
        <v>501</v>
      </c>
      <c r="D937" s="52">
        <v>10325000</v>
      </c>
      <c r="E937" s="91" t="s">
        <v>961</v>
      </c>
      <c r="F937" s="91" t="s">
        <v>960</v>
      </c>
      <c r="G937" s="52">
        <v>9226318.2200000007</v>
      </c>
      <c r="H937" s="75">
        <v>42714</v>
      </c>
      <c r="I937" s="75">
        <v>42759</v>
      </c>
      <c r="J937" s="52">
        <v>7966200</v>
      </c>
    </row>
    <row r="938" spans="1:10" ht="43.5" customHeight="1" outlineLevel="1" x14ac:dyDescent="0.25">
      <c r="A938" s="731"/>
      <c r="B938" s="733"/>
      <c r="C938" s="91" t="s">
        <v>508</v>
      </c>
      <c r="D938" s="52">
        <v>5217151.68</v>
      </c>
      <c r="E938" s="91" t="s">
        <v>940</v>
      </c>
      <c r="F938" s="91" t="s">
        <v>941</v>
      </c>
      <c r="G938" s="52">
        <v>5321495.05</v>
      </c>
      <c r="H938" s="75">
        <v>42627</v>
      </c>
      <c r="I938" s="76">
        <v>42685</v>
      </c>
      <c r="J938" s="52">
        <v>5217151.68</v>
      </c>
    </row>
    <row r="939" spans="1:10" ht="33" outlineLevel="1" x14ac:dyDescent="0.25">
      <c r="A939" s="731"/>
      <c r="B939" s="733"/>
      <c r="C939" s="116" t="s">
        <v>37</v>
      </c>
      <c r="D939" s="59">
        <v>375847.99</v>
      </c>
      <c r="E939" s="60" t="s">
        <v>540</v>
      </c>
      <c r="F939" s="60" t="s">
        <v>539</v>
      </c>
      <c r="G939" s="59">
        <v>381214.32</v>
      </c>
      <c r="H939" s="62">
        <v>42353</v>
      </c>
      <c r="I939" s="62">
        <v>42353</v>
      </c>
      <c r="J939" s="63">
        <f>375847.99-296075.71</f>
        <v>79772.27999999997</v>
      </c>
    </row>
    <row r="940" spans="1:10" ht="17.25" outlineLevel="1" thickBot="1" x14ac:dyDescent="0.3">
      <c r="A940" s="686" t="s">
        <v>628</v>
      </c>
      <c r="B940" s="687"/>
      <c r="C940" s="156"/>
      <c r="D940" s="157">
        <f>SUM(D933:D939)</f>
        <v>21943935.34</v>
      </c>
      <c r="E940" s="88"/>
      <c r="F940" s="88"/>
      <c r="G940" s="157">
        <f>SUM(G933:G939)</f>
        <v>21113279.080000002</v>
      </c>
      <c r="H940" s="88"/>
      <c r="I940" s="130"/>
      <c r="J940" s="157">
        <f>SUM(J933:J939)</f>
        <v>19289059.630000003</v>
      </c>
    </row>
    <row r="941" spans="1:10" s="4" customFormat="1" ht="33" x14ac:dyDescent="0.25">
      <c r="A941" s="730">
        <v>6</v>
      </c>
      <c r="B941" s="735" t="s">
        <v>214</v>
      </c>
      <c r="C941" s="105" t="s">
        <v>38</v>
      </c>
      <c r="D941" s="107">
        <v>607123.32999999996</v>
      </c>
      <c r="E941" s="221" t="s">
        <v>940</v>
      </c>
      <c r="F941" s="221" t="s">
        <v>941</v>
      </c>
      <c r="G941" s="260">
        <v>619265.44999999995</v>
      </c>
      <c r="H941" s="92">
        <v>42627</v>
      </c>
      <c r="I941" s="76">
        <v>42685</v>
      </c>
      <c r="J941" s="107">
        <v>607123.32999999996</v>
      </c>
    </row>
    <row r="942" spans="1:10" ht="33" outlineLevel="1" x14ac:dyDescent="0.25">
      <c r="A942" s="731"/>
      <c r="B942" s="733"/>
      <c r="C942" s="91" t="s">
        <v>34</v>
      </c>
      <c r="D942" s="52">
        <v>4246291.93</v>
      </c>
      <c r="E942" s="91" t="s">
        <v>940</v>
      </c>
      <c r="F942" s="91" t="s">
        <v>941</v>
      </c>
      <c r="G942" s="52">
        <v>4331217.4000000004</v>
      </c>
      <c r="H942" s="75">
        <v>42627</v>
      </c>
      <c r="I942" s="75">
        <v>42634</v>
      </c>
      <c r="J942" s="52">
        <v>4246291.93</v>
      </c>
    </row>
    <row r="943" spans="1:10" ht="33" outlineLevel="1" x14ac:dyDescent="0.25">
      <c r="A943" s="731"/>
      <c r="B943" s="733"/>
      <c r="C943" s="91" t="s">
        <v>35</v>
      </c>
      <c r="D943" s="52">
        <v>660983.61</v>
      </c>
      <c r="E943" s="91" t="s">
        <v>940</v>
      </c>
      <c r="F943" s="91" t="s">
        <v>941</v>
      </c>
      <c r="G943" s="52">
        <v>674203.29</v>
      </c>
      <c r="H943" s="75">
        <v>42627</v>
      </c>
      <c r="I943" s="75">
        <v>42685</v>
      </c>
      <c r="J943" s="52">
        <v>660983.61</v>
      </c>
    </row>
    <row r="944" spans="1:10" ht="33" outlineLevel="1" x14ac:dyDescent="0.25">
      <c r="A944" s="731"/>
      <c r="B944" s="733"/>
      <c r="C944" s="91" t="s">
        <v>36</v>
      </c>
      <c r="D944" s="52">
        <v>548593.28</v>
      </c>
      <c r="E944" s="91" t="s">
        <v>940</v>
      </c>
      <c r="F944" s="91" t="s">
        <v>941</v>
      </c>
      <c r="G944" s="52">
        <v>559565.35</v>
      </c>
      <c r="H944" s="75">
        <v>42627</v>
      </c>
      <c r="I944" s="75">
        <v>42685</v>
      </c>
      <c r="J944" s="52">
        <v>548593.28</v>
      </c>
    </row>
    <row r="945" spans="1:10" ht="43.5" customHeight="1" outlineLevel="1" x14ac:dyDescent="0.25">
      <c r="A945" s="731"/>
      <c r="B945" s="733"/>
      <c r="C945" s="91" t="s">
        <v>501</v>
      </c>
      <c r="D945" s="52">
        <v>10280000</v>
      </c>
      <c r="E945" s="91" t="s">
        <v>961</v>
      </c>
      <c r="F945" s="91" t="s">
        <v>960</v>
      </c>
      <c r="G945" s="52">
        <v>9273681.7799999993</v>
      </c>
      <c r="H945" s="75">
        <v>42714</v>
      </c>
      <c r="I945" s="75">
        <v>42714</v>
      </c>
      <c r="J945" s="52">
        <v>7966200</v>
      </c>
    </row>
    <row r="946" spans="1:10" ht="33" outlineLevel="1" x14ac:dyDescent="0.25">
      <c r="A946" s="731"/>
      <c r="B946" s="733"/>
      <c r="C946" s="91" t="s">
        <v>508</v>
      </c>
      <c r="D946" s="52">
        <v>5205884.03</v>
      </c>
      <c r="E946" s="105" t="s">
        <v>940</v>
      </c>
      <c r="F946" s="105" t="s">
        <v>941</v>
      </c>
      <c r="G946" s="226">
        <v>5310001.97</v>
      </c>
      <c r="H946" s="76">
        <v>42627</v>
      </c>
      <c r="I946" s="75">
        <v>42685</v>
      </c>
      <c r="J946" s="52">
        <v>5205884.03</v>
      </c>
    </row>
    <row r="947" spans="1:10" ht="33" outlineLevel="1" x14ac:dyDescent="0.25">
      <c r="A947" s="731"/>
      <c r="B947" s="733"/>
      <c r="C947" s="116" t="s">
        <v>37</v>
      </c>
      <c r="D947" s="59">
        <v>375847.99</v>
      </c>
      <c r="E947" s="60" t="s">
        <v>540</v>
      </c>
      <c r="F947" s="60" t="s">
        <v>539</v>
      </c>
      <c r="G947" s="61">
        <v>381214.32</v>
      </c>
      <c r="H947" s="62">
        <v>42353</v>
      </c>
      <c r="I947" s="62">
        <v>42353</v>
      </c>
      <c r="J947" s="63">
        <f>375847.99-296075.71</f>
        <v>79772.27999999997</v>
      </c>
    </row>
    <row r="948" spans="1:10" ht="17.25" outlineLevel="1" thickBot="1" x14ac:dyDescent="0.3">
      <c r="A948" s="686" t="s">
        <v>628</v>
      </c>
      <c r="B948" s="687"/>
      <c r="C948" s="156"/>
      <c r="D948" s="157">
        <f>SUM(D941:D947)</f>
        <v>21924724.169999998</v>
      </c>
      <c r="E948" s="88"/>
      <c r="F948" s="88"/>
      <c r="G948" s="158">
        <f>SUM(G941:G947)</f>
        <v>21149149.559999999</v>
      </c>
      <c r="H948" s="88"/>
      <c r="I948" s="130"/>
      <c r="J948" s="157">
        <f>SUM(J941:J947)</f>
        <v>19314848.460000001</v>
      </c>
    </row>
    <row r="949" spans="1:10" s="4" customFormat="1" ht="15" customHeight="1" x14ac:dyDescent="0.25">
      <c r="A949" s="734">
        <v>7</v>
      </c>
      <c r="B949" s="732" t="s">
        <v>30</v>
      </c>
      <c r="C949" s="70" t="s">
        <v>38</v>
      </c>
      <c r="D949" s="51">
        <v>847688.28</v>
      </c>
      <c r="E949" s="690" t="s">
        <v>740</v>
      </c>
      <c r="F949" s="690" t="s">
        <v>741</v>
      </c>
      <c r="G949" s="148">
        <v>804112.27</v>
      </c>
      <c r="H949" s="675">
        <v>42551</v>
      </c>
      <c r="I949" s="50">
        <v>42640</v>
      </c>
      <c r="J949" s="51">
        <v>790479.75</v>
      </c>
    </row>
    <row r="950" spans="1:10" ht="16.5" outlineLevel="1" x14ac:dyDescent="0.25">
      <c r="A950" s="731"/>
      <c r="B950" s="733"/>
      <c r="C950" s="91" t="s">
        <v>36</v>
      </c>
      <c r="D950" s="52">
        <v>213306</v>
      </c>
      <c r="E950" s="682"/>
      <c r="F950" s="682"/>
      <c r="G950" s="149">
        <v>195626.73</v>
      </c>
      <c r="H950" s="677"/>
      <c r="I950" s="75">
        <v>42640</v>
      </c>
      <c r="J950" s="52">
        <v>194601</v>
      </c>
    </row>
    <row r="951" spans="1:10" ht="33" outlineLevel="1" x14ac:dyDescent="0.25">
      <c r="A951" s="731"/>
      <c r="B951" s="733"/>
      <c r="C951" s="116" t="s">
        <v>37</v>
      </c>
      <c r="D951" s="59">
        <v>58673.95</v>
      </c>
      <c r="E951" s="60" t="s">
        <v>540</v>
      </c>
      <c r="F951" s="298" t="s">
        <v>541</v>
      </c>
      <c r="G951" s="61">
        <v>110218.564847328</v>
      </c>
      <c r="H951" s="62">
        <v>42353</v>
      </c>
      <c r="I951" s="62">
        <v>42353</v>
      </c>
      <c r="J951" s="63">
        <v>58673.95</v>
      </c>
    </row>
    <row r="952" spans="1:10" ht="30.75" customHeight="1" outlineLevel="1" x14ac:dyDescent="0.25">
      <c r="A952" s="731"/>
      <c r="B952" s="733"/>
      <c r="C952" s="91" t="s">
        <v>500</v>
      </c>
      <c r="D952" s="52">
        <v>3879879.95</v>
      </c>
      <c r="E952" s="221" t="s">
        <v>740</v>
      </c>
      <c r="F952" s="220" t="s">
        <v>741</v>
      </c>
      <c r="G952" s="149">
        <v>3537997.73</v>
      </c>
      <c r="H952" s="75">
        <v>42535</v>
      </c>
      <c r="I952" s="75">
        <v>42640</v>
      </c>
      <c r="J952" s="52">
        <v>3529388.5</v>
      </c>
    </row>
    <row r="953" spans="1:10" ht="33" outlineLevel="1" x14ac:dyDescent="0.25">
      <c r="A953" s="731"/>
      <c r="B953" s="733"/>
      <c r="C953" s="501" t="s">
        <v>501</v>
      </c>
      <c r="D953" s="499">
        <v>8580000</v>
      </c>
      <c r="E953" s="501" t="s">
        <v>932</v>
      </c>
      <c r="F953" s="501" t="s">
        <v>933</v>
      </c>
      <c r="G953" s="149">
        <v>7578181.8399999999</v>
      </c>
      <c r="H953" s="504">
        <v>42689</v>
      </c>
      <c r="I953" s="504">
        <v>42815</v>
      </c>
      <c r="J953" s="499">
        <v>6848994.9400000004</v>
      </c>
    </row>
    <row r="954" spans="1:10" ht="33" outlineLevel="1" x14ac:dyDescent="0.25">
      <c r="A954" s="731"/>
      <c r="B954" s="733"/>
      <c r="C954" s="150" t="s">
        <v>37</v>
      </c>
      <c r="D954" s="151">
        <v>72788.642200000002</v>
      </c>
      <c r="E954" s="152" t="s">
        <v>563</v>
      </c>
      <c r="F954" s="152" t="s">
        <v>541</v>
      </c>
      <c r="G954" s="153">
        <v>145577.27153638558</v>
      </c>
      <c r="H954" s="154">
        <v>42429</v>
      </c>
      <c r="I954" s="154">
        <v>42593</v>
      </c>
      <c r="J954" s="155">
        <v>72788.642200000002</v>
      </c>
    </row>
    <row r="955" spans="1:10" ht="17.25" outlineLevel="1" thickBot="1" x14ac:dyDescent="0.3">
      <c r="A955" s="686" t="s">
        <v>628</v>
      </c>
      <c r="B955" s="687"/>
      <c r="C955" s="156"/>
      <c r="D955" s="157">
        <f>SUM(D949:D954)</f>
        <v>13652336.8222</v>
      </c>
      <c r="E955" s="90"/>
      <c r="F955" s="90"/>
      <c r="G955" s="158">
        <f>SUM(G949:G954)</f>
        <v>12371714.406383714</v>
      </c>
      <c r="H955" s="88"/>
      <c r="I955" s="130"/>
      <c r="J955" s="157">
        <f>SUM(J949:J954)</f>
        <v>11494926.782200001</v>
      </c>
    </row>
    <row r="956" spans="1:10" s="4" customFormat="1" ht="30" customHeight="1" x14ac:dyDescent="0.25">
      <c r="A956" s="734">
        <v>8</v>
      </c>
      <c r="B956" s="732" t="s">
        <v>215</v>
      </c>
      <c r="C956" s="70" t="s">
        <v>38</v>
      </c>
      <c r="D956" s="51">
        <v>1730042.27</v>
      </c>
      <c r="E956" s="91" t="s">
        <v>713</v>
      </c>
      <c r="F956" s="91" t="s">
        <v>714</v>
      </c>
      <c r="G956" s="148">
        <v>1730052.01</v>
      </c>
      <c r="H956" s="50">
        <v>42505</v>
      </c>
      <c r="I956" s="50">
        <v>42586</v>
      </c>
      <c r="J956" s="51">
        <v>1730042.27</v>
      </c>
    </row>
    <row r="957" spans="1:10" ht="16.5" outlineLevel="1" x14ac:dyDescent="0.25">
      <c r="A957" s="731"/>
      <c r="B957" s="733"/>
      <c r="C957" s="91" t="s">
        <v>34</v>
      </c>
      <c r="D957" s="52">
        <v>9704049.1999999993</v>
      </c>
      <c r="E957" s="684" t="s">
        <v>1340</v>
      </c>
      <c r="F957" s="684" t="s">
        <v>829</v>
      </c>
      <c r="G957" s="149">
        <v>12974224.949999999</v>
      </c>
      <c r="H957" s="713">
        <v>42623</v>
      </c>
      <c r="I957" s="75">
        <v>42656</v>
      </c>
      <c r="J957" s="52">
        <v>9704049.1999999993</v>
      </c>
    </row>
    <row r="958" spans="1:10" ht="16.5" outlineLevel="1" x14ac:dyDescent="0.25">
      <c r="A958" s="731"/>
      <c r="B958" s="733"/>
      <c r="C958" s="91" t="s">
        <v>35</v>
      </c>
      <c r="D958" s="52">
        <v>994816.24</v>
      </c>
      <c r="E958" s="684"/>
      <c r="F958" s="684"/>
      <c r="G958" s="149">
        <v>1236861.08</v>
      </c>
      <c r="H958" s="676"/>
      <c r="I958" s="75">
        <v>42656</v>
      </c>
      <c r="J958" s="52">
        <v>994816.24</v>
      </c>
    </row>
    <row r="959" spans="1:10" ht="16.5" outlineLevel="1" x14ac:dyDescent="0.25">
      <c r="A959" s="731"/>
      <c r="B959" s="733"/>
      <c r="C959" s="91" t="s">
        <v>36</v>
      </c>
      <c r="D959" s="52">
        <v>469162.27</v>
      </c>
      <c r="E959" s="684"/>
      <c r="F959" s="684"/>
      <c r="G959" s="149">
        <v>588913.97</v>
      </c>
      <c r="H959" s="677"/>
      <c r="I959" s="75">
        <v>42656</v>
      </c>
      <c r="J959" s="52">
        <v>469162.27</v>
      </c>
    </row>
    <row r="960" spans="1:10" ht="33" outlineLevel="1" x14ac:dyDescent="0.25">
      <c r="A960" s="731"/>
      <c r="B960" s="733"/>
      <c r="C960" s="91" t="s">
        <v>500</v>
      </c>
      <c r="D960" s="52">
        <v>10013572.939999999</v>
      </c>
      <c r="E960" s="91" t="s">
        <v>713</v>
      </c>
      <c r="F960" s="91" t="s">
        <v>714</v>
      </c>
      <c r="G960" s="149">
        <v>9746647.3800000008</v>
      </c>
      <c r="H960" s="75">
        <v>42530</v>
      </c>
      <c r="I960" s="75">
        <v>42530</v>
      </c>
      <c r="J960" s="52">
        <v>10013572.940000001</v>
      </c>
    </row>
    <row r="961" spans="1:10" ht="33" outlineLevel="1" x14ac:dyDescent="0.25">
      <c r="A961" s="731"/>
      <c r="B961" s="733"/>
      <c r="C961" s="91" t="s">
        <v>501</v>
      </c>
      <c r="D961" s="52">
        <v>21530000</v>
      </c>
      <c r="E961" s="91" t="s">
        <v>906</v>
      </c>
      <c r="F961" s="91" t="s">
        <v>714</v>
      </c>
      <c r="G961" s="149">
        <v>19530000</v>
      </c>
      <c r="H961" s="75">
        <v>42699</v>
      </c>
      <c r="I961" s="75">
        <v>42713</v>
      </c>
      <c r="J961" s="52">
        <v>16000000</v>
      </c>
    </row>
    <row r="962" spans="1:10" ht="33" outlineLevel="1" x14ac:dyDescent="0.25">
      <c r="A962" s="731"/>
      <c r="B962" s="733"/>
      <c r="C962" s="116" t="s">
        <v>37</v>
      </c>
      <c r="D962" s="59">
        <v>495655.6</v>
      </c>
      <c r="E962" s="60" t="s">
        <v>540</v>
      </c>
      <c r="F962" s="60" t="s">
        <v>539</v>
      </c>
      <c r="G962" s="61">
        <v>493576.22</v>
      </c>
      <c r="H962" s="62">
        <v>42353</v>
      </c>
      <c r="I962" s="62">
        <v>42353</v>
      </c>
      <c r="J962" s="63">
        <v>495655.6</v>
      </c>
    </row>
    <row r="963" spans="1:10" ht="17.25" outlineLevel="1" thickBot="1" x14ac:dyDescent="0.3">
      <c r="A963" s="686" t="s">
        <v>628</v>
      </c>
      <c r="B963" s="687"/>
      <c r="C963" s="156"/>
      <c r="D963" s="157">
        <f>SUM(D956:D962)</f>
        <v>44937298.520000003</v>
      </c>
      <c r="E963" s="88"/>
      <c r="F963" s="88"/>
      <c r="G963" s="158">
        <f>SUM(G956:G962)</f>
        <v>46300275.609999999</v>
      </c>
      <c r="H963" s="88"/>
      <c r="I963" s="130"/>
      <c r="J963" s="157">
        <f>SUM(J956:J962)</f>
        <v>39407298.520000003</v>
      </c>
    </row>
    <row r="964" spans="1:10" s="4" customFormat="1" ht="37.5" customHeight="1" x14ac:dyDescent="0.25">
      <c r="A964" s="734">
        <v>9</v>
      </c>
      <c r="B964" s="732" t="s">
        <v>221</v>
      </c>
      <c r="C964" s="70" t="s">
        <v>500</v>
      </c>
      <c r="D964" s="51">
        <v>8572791.9299999997</v>
      </c>
      <c r="E964" s="70" t="s">
        <v>772</v>
      </c>
      <c r="F964" s="70" t="s">
        <v>773</v>
      </c>
      <c r="G964" s="148">
        <v>9527000</v>
      </c>
      <c r="H964" s="50">
        <v>42556</v>
      </c>
      <c r="I964" s="50">
        <v>42565</v>
      </c>
      <c r="J964" s="51">
        <v>8572791.9299999997</v>
      </c>
    </row>
    <row r="965" spans="1:10" ht="33" outlineLevel="1" x14ac:dyDescent="0.25">
      <c r="A965" s="731"/>
      <c r="B965" s="733"/>
      <c r="C965" s="150" t="s">
        <v>37</v>
      </c>
      <c r="D965" s="151">
        <v>94946.163</v>
      </c>
      <c r="E965" s="152" t="s">
        <v>563</v>
      </c>
      <c r="F965" s="152" t="s">
        <v>541</v>
      </c>
      <c r="G965" s="153">
        <v>94946.16</v>
      </c>
      <c r="H965" s="154">
        <v>42429</v>
      </c>
      <c r="I965" s="154">
        <v>42593</v>
      </c>
      <c r="J965" s="155">
        <v>94946.163</v>
      </c>
    </row>
    <row r="966" spans="1:10" ht="17.25" outlineLevel="1" thickBot="1" x14ac:dyDescent="0.3">
      <c r="A966" s="686" t="s">
        <v>628</v>
      </c>
      <c r="B966" s="687"/>
      <c r="C966" s="156"/>
      <c r="D966" s="157">
        <f>SUM(D964:D965)</f>
        <v>8667738.0930000003</v>
      </c>
      <c r="E966" s="88"/>
      <c r="F966" s="88"/>
      <c r="G966" s="158">
        <f>SUM(G964:G965)</f>
        <v>9621946.1600000001</v>
      </c>
      <c r="H966" s="88"/>
      <c r="I966" s="130"/>
      <c r="J966" s="157">
        <f t="shared" ref="J966" si="16">SUM(J964:J965)</f>
        <v>8667738.0930000003</v>
      </c>
    </row>
    <row r="967" spans="1:10" s="4" customFormat="1" ht="15" customHeight="1" x14ac:dyDescent="0.25">
      <c r="A967" s="734">
        <v>10</v>
      </c>
      <c r="B967" s="732" t="s">
        <v>31</v>
      </c>
      <c r="C967" s="70" t="s">
        <v>38</v>
      </c>
      <c r="D967" s="51">
        <v>2046945.34</v>
      </c>
      <c r="E967" s="690" t="s">
        <v>711</v>
      </c>
      <c r="F967" s="690" t="s">
        <v>712</v>
      </c>
      <c r="G967" s="148">
        <v>2008654.11</v>
      </c>
      <c r="H967" s="675">
        <v>42548</v>
      </c>
      <c r="I967" s="50">
        <v>42565</v>
      </c>
      <c r="J967" s="51">
        <v>2046945.34</v>
      </c>
    </row>
    <row r="968" spans="1:10" ht="16.5" outlineLevel="1" x14ac:dyDescent="0.25">
      <c r="A968" s="731"/>
      <c r="B968" s="733"/>
      <c r="C968" s="91" t="s">
        <v>36</v>
      </c>
      <c r="D968" s="52">
        <v>581252.94999999995</v>
      </c>
      <c r="E968" s="681"/>
      <c r="F968" s="681"/>
      <c r="G968" s="149">
        <v>560732.36</v>
      </c>
      <c r="H968" s="681"/>
      <c r="I968" s="75">
        <v>42536</v>
      </c>
      <c r="J968" s="52">
        <v>581252.94999999995</v>
      </c>
    </row>
    <row r="969" spans="1:10" ht="16.5" outlineLevel="1" x14ac:dyDescent="0.25">
      <c r="A969" s="731"/>
      <c r="B969" s="733"/>
      <c r="C969" s="91" t="s">
        <v>500</v>
      </c>
      <c r="D969" s="52">
        <v>5311262.66</v>
      </c>
      <c r="E969" s="682"/>
      <c r="F969" s="682"/>
      <c r="G969" s="149">
        <v>5130613.53</v>
      </c>
      <c r="H969" s="682"/>
      <c r="I969" s="75">
        <v>42565</v>
      </c>
      <c r="J969" s="52">
        <v>5311262.66</v>
      </c>
    </row>
    <row r="970" spans="1:10" ht="33" outlineLevel="1" x14ac:dyDescent="0.25">
      <c r="A970" s="731"/>
      <c r="B970" s="733"/>
      <c r="C970" s="582" t="s">
        <v>501</v>
      </c>
      <c r="D970" s="583">
        <v>15384124.92</v>
      </c>
      <c r="E970" s="582" t="s">
        <v>1039</v>
      </c>
      <c r="F970" s="582" t="s">
        <v>800</v>
      </c>
      <c r="G970" s="149">
        <v>15384124.92</v>
      </c>
      <c r="H970" s="584">
        <v>42911</v>
      </c>
      <c r="I970" s="584">
        <v>42512</v>
      </c>
      <c r="J970" s="583">
        <v>14297822.82</v>
      </c>
    </row>
    <row r="971" spans="1:10" ht="33" outlineLevel="1" x14ac:dyDescent="0.25">
      <c r="A971" s="731"/>
      <c r="B971" s="733"/>
      <c r="C971" s="116" t="s">
        <v>37</v>
      </c>
      <c r="D971" s="59">
        <v>69780.5</v>
      </c>
      <c r="E971" s="60" t="s">
        <v>540</v>
      </c>
      <c r="F971" s="60" t="s">
        <v>542</v>
      </c>
      <c r="G971" s="61">
        <v>301261.33</v>
      </c>
      <c r="H971" s="62">
        <v>42353</v>
      </c>
      <c r="I971" s="62">
        <v>42353</v>
      </c>
      <c r="J971" s="63">
        <v>69780.5</v>
      </c>
    </row>
    <row r="972" spans="1:10" ht="17.25" outlineLevel="1" thickBot="1" x14ac:dyDescent="0.3">
      <c r="A972" s="686" t="s">
        <v>628</v>
      </c>
      <c r="B972" s="687"/>
      <c r="C972" s="156"/>
      <c r="D972" s="157">
        <f>SUM(D967:D971)</f>
        <v>23393366.370000001</v>
      </c>
      <c r="E972" s="88"/>
      <c r="F972" s="88"/>
      <c r="G972" s="158">
        <f>SUM(G967:G971)</f>
        <v>23385386.25</v>
      </c>
      <c r="H972" s="88"/>
      <c r="I972" s="130"/>
      <c r="J972" s="157">
        <f>SUM(J967:J971)</f>
        <v>22307064.27</v>
      </c>
    </row>
    <row r="973" spans="1:10" s="4" customFormat="1" ht="33" x14ac:dyDescent="0.25">
      <c r="A973" s="734">
        <v>11</v>
      </c>
      <c r="B973" s="732" t="s">
        <v>216</v>
      </c>
      <c r="C973" s="611" t="s">
        <v>508</v>
      </c>
      <c r="D973" s="51">
        <v>4423639.46</v>
      </c>
      <c r="E973" s="611" t="s">
        <v>1145</v>
      </c>
      <c r="F973" s="611" t="s">
        <v>1146</v>
      </c>
      <c r="G973" s="148">
        <v>4432639.46</v>
      </c>
      <c r="H973" s="608">
        <v>42947</v>
      </c>
      <c r="I973" s="608">
        <v>42880</v>
      </c>
      <c r="J973" s="51">
        <v>4211241.0599999996</v>
      </c>
    </row>
    <row r="974" spans="1:10" ht="33" outlineLevel="1" x14ac:dyDescent="0.25">
      <c r="A974" s="731"/>
      <c r="B974" s="733"/>
      <c r="C974" s="150" t="s">
        <v>37</v>
      </c>
      <c r="D974" s="151">
        <v>80363.38</v>
      </c>
      <c r="E974" s="152" t="s">
        <v>540</v>
      </c>
      <c r="F974" s="152" t="s">
        <v>539</v>
      </c>
      <c r="G974" s="153">
        <v>80363.38</v>
      </c>
      <c r="H974" s="154">
        <v>42353</v>
      </c>
      <c r="I974" s="154">
        <v>42640</v>
      </c>
      <c r="J974" s="155"/>
    </row>
    <row r="975" spans="1:10" ht="17.25" outlineLevel="1" thickBot="1" x14ac:dyDescent="0.3">
      <c r="A975" s="686" t="s">
        <v>628</v>
      </c>
      <c r="B975" s="687"/>
      <c r="C975" s="156"/>
      <c r="D975" s="157">
        <f>SUM(D973:D974)</f>
        <v>4504002.84</v>
      </c>
      <c r="E975" s="88"/>
      <c r="F975" s="88"/>
      <c r="G975" s="158">
        <f>SUM(G973:G974)</f>
        <v>4513002.84</v>
      </c>
      <c r="H975" s="88"/>
      <c r="I975" s="130"/>
      <c r="J975" s="157">
        <f>SUM(J973:J974)</f>
        <v>4211241.0599999996</v>
      </c>
    </row>
    <row r="976" spans="1:10" s="4" customFormat="1" ht="16.5" x14ac:dyDescent="0.25">
      <c r="A976" s="734">
        <v>12</v>
      </c>
      <c r="B976" s="732" t="s">
        <v>217</v>
      </c>
      <c r="C976" s="70" t="s">
        <v>38</v>
      </c>
      <c r="D976" s="51">
        <v>2377006.16</v>
      </c>
      <c r="E976" s="744" t="s">
        <v>1066</v>
      </c>
      <c r="F976" s="744" t="s">
        <v>800</v>
      </c>
      <c r="G976" s="299">
        <v>2377006.16</v>
      </c>
      <c r="H976" s="72">
        <v>42755</v>
      </c>
      <c r="I976" s="50">
        <v>42704</v>
      </c>
      <c r="J976" s="51">
        <v>2188794.98</v>
      </c>
    </row>
    <row r="977" spans="1:10" ht="16.5" outlineLevel="1" x14ac:dyDescent="0.25">
      <c r="A977" s="731"/>
      <c r="B977" s="733"/>
      <c r="C977" s="520" t="s">
        <v>34</v>
      </c>
      <c r="D977" s="521">
        <v>13892250.92</v>
      </c>
      <c r="E977" s="745"/>
      <c r="F977" s="745"/>
      <c r="G977" s="149">
        <v>13892250.92</v>
      </c>
      <c r="H977" s="523">
        <v>42755</v>
      </c>
      <c r="I977" s="523">
        <v>42795</v>
      </c>
      <c r="J977" s="522">
        <v>13583034.279999999</v>
      </c>
    </row>
    <row r="978" spans="1:10" ht="16.5" outlineLevel="1" x14ac:dyDescent="0.25">
      <c r="A978" s="731"/>
      <c r="B978" s="733"/>
      <c r="C978" s="501" t="s">
        <v>35</v>
      </c>
      <c r="D978" s="503">
        <v>1170659.1200000001</v>
      </c>
      <c r="E978" s="745"/>
      <c r="F978" s="745"/>
      <c r="G978" s="149">
        <v>1170659.1200000001</v>
      </c>
      <c r="H978" s="504">
        <v>42755</v>
      </c>
      <c r="I978" s="504">
        <v>42818</v>
      </c>
      <c r="J978" s="499">
        <v>1134780.04</v>
      </c>
    </row>
    <row r="979" spans="1:10" ht="16.5" outlineLevel="1" x14ac:dyDescent="0.25">
      <c r="A979" s="731"/>
      <c r="B979" s="733"/>
      <c r="C979" s="501" t="s">
        <v>36</v>
      </c>
      <c r="D979" s="499">
        <v>722931.72</v>
      </c>
      <c r="E979" s="745"/>
      <c r="F979" s="745"/>
      <c r="G979" s="149">
        <v>722931.72</v>
      </c>
      <c r="H979" s="502">
        <v>42755</v>
      </c>
      <c r="I979" s="504">
        <v>42818</v>
      </c>
      <c r="J979" s="499">
        <v>664942.98</v>
      </c>
    </row>
    <row r="980" spans="1:10" ht="16.5" outlineLevel="1" x14ac:dyDescent="0.25">
      <c r="A980" s="731"/>
      <c r="B980" s="733"/>
      <c r="C980" s="592" t="s">
        <v>500</v>
      </c>
      <c r="D980" s="593">
        <v>6068905.2000000002</v>
      </c>
      <c r="E980" s="745"/>
      <c r="F980" s="745"/>
      <c r="G980" s="638">
        <v>6068905.2000000002</v>
      </c>
      <c r="H980" s="595">
        <v>42912</v>
      </c>
      <c r="I980" s="639"/>
      <c r="J980" s="593">
        <v>4896604.7</v>
      </c>
    </row>
    <row r="981" spans="1:10" s="596" customFormat="1" ht="16.5" outlineLevel="1" x14ac:dyDescent="0.25">
      <c r="A981" s="731"/>
      <c r="B981" s="733"/>
      <c r="C981" s="592" t="s">
        <v>501</v>
      </c>
      <c r="D981" s="593">
        <v>13996657.32</v>
      </c>
      <c r="E981" s="746"/>
      <c r="F981" s="746"/>
      <c r="G981" s="594">
        <v>13996657.32</v>
      </c>
      <c r="H981" s="595">
        <v>42912</v>
      </c>
      <c r="I981" s="595">
        <v>42877</v>
      </c>
      <c r="J981" s="593">
        <v>13795519.24</v>
      </c>
    </row>
    <row r="982" spans="1:10" ht="33" outlineLevel="1" x14ac:dyDescent="0.25">
      <c r="A982" s="731"/>
      <c r="B982" s="733"/>
      <c r="C982" s="116" t="s">
        <v>37</v>
      </c>
      <c r="D982" s="59">
        <v>341569.5</v>
      </c>
      <c r="E982" s="60" t="s">
        <v>540</v>
      </c>
      <c r="F982" s="60" t="s">
        <v>539</v>
      </c>
      <c r="G982" s="61">
        <v>410727.91</v>
      </c>
      <c r="H982" s="62">
        <v>42353</v>
      </c>
      <c r="I982" s="62">
        <v>42353</v>
      </c>
      <c r="J982" s="63">
        <v>341569.5</v>
      </c>
    </row>
    <row r="983" spans="1:10" ht="17.25" outlineLevel="1" thickBot="1" x14ac:dyDescent="0.3">
      <c r="A983" s="686" t="s">
        <v>628</v>
      </c>
      <c r="B983" s="687"/>
      <c r="C983" s="156"/>
      <c r="D983" s="157">
        <f>SUM(D976:D982)</f>
        <v>38569979.939999998</v>
      </c>
      <c r="E983" s="65"/>
      <c r="F983" s="65"/>
      <c r="G983" s="158">
        <f>SUM(G976:G982)</f>
        <v>38639138.349999994</v>
      </c>
      <c r="H983" s="65"/>
      <c r="I983" s="67"/>
      <c r="J983" s="157">
        <f>SUM(J976:J982)</f>
        <v>36605245.719999999</v>
      </c>
    </row>
    <row r="984" spans="1:10" s="4" customFormat="1" ht="37.5" customHeight="1" x14ac:dyDescent="0.25">
      <c r="A984" s="849">
        <v>13</v>
      </c>
      <c r="B984" s="848" t="s">
        <v>218</v>
      </c>
      <c r="C984" s="105" t="s">
        <v>34</v>
      </c>
      <c r="D984" s="232">
        <v>7324823.5899999999</v>
      </c>
      <c r="E984" s="105" t="s">
        <v>715</v>
      </c>
      <c r="F984" s="105" t="s">
        <v>716</v>
      </c>
      <c r="G984" s="226">
        <v>5478719.6299999999</v>
      </c>
      <c r="H984" s="76">
        <v>42581</v>
      </c>
      <c r="I984" s="76">
        <v>42502</v>
      </c>
      <c r="J984" s="107">
        <v>5806486.2400000002</v>
      </c>
    </row>
    <row r="985" spans="1:10" ht="57" customHeight="1" outlineLevel="1" x14ac:dyDescent="0.25">
      <c r="A985" s="791"/>
      <c r="B985" s="789"/>
      <c r="C985" s="714" t="s">
        <v>35</v>
      </c>
      <c r="D985" s="694">
        <v>1657104.66</v>
      </c>
      <c r="E985" s="105" t="s">
        <v>826</v>
      </c>
      <c r="F985" s="105" t="s">
        <v>828</v>
      </c>
      <c r="G985" s="149">
        <v>1509128.96</v>
      </c>
      <c r="H985" s="76">
        <v>42581</v>
      </c>
      <c r="I985" s="75">
        <v>42536</v>
      </c>
      <c r="J985" s="52">
        <v>1657104.66</v>
      </c>
    </row>
    <row r="986" spans="1:10" ht="57" customHeight="1" outlineLevel="1" x14ac:dyDescent="0.25">
      <c r="A986" s="791"/>
      <c r="B986" s="789"/>
      <c r="C986" s="682"/>
      <c r="D986" s="711"/>
      <c r="E986" s="105" t="s">
        <v>827</v>
      </c>
      <c r="F986" s="91" t="s">
        <v>829</v>
      </c>
      <c r="G986" s="149">
        <v>1755533.96</v>
      </c>
      <c r="H986" s="76">
        <v>42569</v>
      </c>
      <c r="I986" s="75">
        <v>42573</v>
      </c>
      <c r="J986" s="52">
        <v>1518337.35</v>
      </c>
    </row>
    <row r="987" spans="1:10" ht="33" customHeight="1" outlineLevel="1" x14ac:dyDescent="0.25">
      <c r="A987" s="791"/>
      <c r="B987" s="789"/>
      <c r="C987" s="91" t="s">
        <v>36</v>
      </c>
      <c r="D987" s="52">
        <v>587259.41</v>
      </c>
      <c r="E987" s="105" t="s">
        <v>715</v>
      </c>
      <c r="F987" s="105" t="s">
        <v>716</v>
      </c>
      <c r="G987" s="149">
        <v>534797.99</v>
      </c>
      <c r="H987" s="76">
        <v>42581</v>
      </c>
      <c r="I987" s="75">
        <v>42536</v>
      </c>
      <c r="J987" s="52">
        <v>587259.41</v>
      </c>
    </row>
    <row r="988" spans="1:10" ht="33" outlineLevel="1" x14ac:dyDescent="0.25">
      <c r="A988" s="791"/>
      <c r="B988" s="789"/>
      <c r="C988" s="116" t="s">
        <v>37</v>
      </c>
      <c r="D988" s="59">
        <v>245921.62</v>
      </c>
      <c r="E988" s="60" t="s">
        <v>540</v>
      </c>
      <c r="F988" s="60" t="s">
        <v>539</v>
      </c>
      <c r="G988" s="61">
        <v>244889.92</v>
      </c>
      <c r="H988" s="62">
        <v>42353</v>
      </c>
      <c r="I988" s="62">
        <v>42353</v>
      </c>
      <c r="J988" s="63">
        <v>245921.62</v>
      </c>
    </row>
    <row r="989" spans="1:10" ht="17.25" outlineLevel="1" thickBot="1" x14ac:dyDescent="0.3">
      <c r="A989" s="812" t="s">
        <v>628</v>
      </c>
      <c r="B989" s="813"/>
      <c r="C989" s="156"/>
      <c r="D989" s="157">
        <f>SUM(D984:D988)</f>
        <v>9815109.2799999993</v>
      </c>
      <c r="E989" s="88"/>
      <c r="F989" s="88"/>
      <c r="G989" s="158">
        <f>SUM(G984:G988)</f>
        <v>9523070.4600000009</v>
      </c>
      <c r="H989" s="88"/>
      <c r="I989" s="130"/>
      <c r="J989" s="157">
        <f>SUM(J984:J988)</f>
        <v>9815109.2799999993</v>
      </c>
    </row>
    <row r="990" spans="1:10" s="4" customFormat="1" ht="35.25" customHeight="1" x14ac:dyDescent="0.25">
      <c r="A990" s="790">
        <v>14</v>
      </c>
      <c r="B990" s="788" t="s">
        <v>219</v>
      </c>
      <c r="C990" s="70" t="s">
        <v>34</v>
      </c>
      <c r="D990" s="51">
        <v>5106981.46</v>
      </c>
      <c r="E990" s="70" t="s">
        <v>715</v>
      </c>
      <c r="F990" s="70" t="s">
        <v>716</v>
      </c>
      <c r="G990" s="148">
        <v>3707929.57</v>
      </c>
      <c r="H990" s="50">
        <v>42581</v>
      </c>
      <c r="I990" s="50">
        <v>42502</v>
      </c>
      <c r="J990" s="51">
        <v>3857239.1399999997</v>
      </c>
    </row>
    <row r="991" spans="1:10" ht="66.75" customHeight="1" outlineLevel="1" x14ac:dyDescent="0.25">
      <c r="A991" s="791"/>
      <c r="B991" s="789"/>
      <c r="C991" s="714" t="s">
        <v>35</v>
      </c>
      <c r="D991" s="710">
        <v>1423022.47</v>
      </c>
      <c r="E991" s="105" t="s">
        <v>826</v>
      </c>
      <c r="F991" s="105" t="s">
        <v>828</v>
      </c>
      <c r="G991" s="226">
        <v>1295943.28</v>
      </c>
      <c r="H991" s="76">
        <v>42581</v>
      </c>
      <c r="I991" s="75">
        <v>42536</v>
      </c>
      <c r="J991" s="52">
        <v>1423022.4700000002</v>
      </c>
    </row>
    <row r="992" spans="1:10" ht="66.75" customHeight="1" outlineLevel="1" x14ac:dyDescent="0.25">
      <c r="A992" s="791"/>
      <c r="B992" s="789"/>
      <c r="C992" s="682"/>
      <c r="D992" s="711"/>
      <c r="E992" s="105" t="s">
        <v>827</v>
      </c>
      <c r="F992" s="91" t="s">
        <v>829</v>
      </c>
      <c r="G992" s="149">
        <v>1444466.04</v>
      </c>
      <c r="H992" s="76">
        <v>42569</v>
      </c>
      <c r="I992" s="75">
        <v>42573</v>
      </c>
      <c r="J992" s="52">
        <v>1249742.32</v>
      </c>
    </row>
    <row r="993" spans="1:10" ht="38.25" customHeight="1" outlineLevel="1" x14ac:dyDescent="0.25">
      <c r="A993" s="791"/>
      <c r="B993" s="789"/>
      <c r="C993" s="91" t="s">
        <v>36</v>
      </c>
      <c r="D993" s="52">
        <v>559481.35</v>
      </c>
      <c r="E993" s="105" t="s">
        <v>715</v>
      </c>
      <c r="F993" s="105" t="s">
        <v>716</v>
      </c>
      <c r="G993" s="149">
        <v>509496.47</v>
      </c>
      <c r="H993" s="76">
        <v>42581</v>
      </c>
      <c r="I993" s="75">
        <v>42536</v>
      </c>
      <c r="J993" s="52">
        <v>559481.35</v>
      </c>
    </row>
    <row r="994" spans="1:10" ht="33" outlineLevel="1" x14ac:dyDescent="0.25">
      <c r="A994" s="791"/>
      <c r="B994" s="789"/>
      <c r="C994" s="116" t="s">
        <v>37</v>
      </c>
      <c r="D994" s="59">
        <v>245921.62</v>
      </c>
      <c r="E994" s="60" t="s">
        <v>540</v>
      </c>
      <c r="F994" s="60" t="s">
        <v>539</v>
      </c>
      <c r="G994" s="61">
        <v>244889.92</v>
      </c>
      <c r="H994" s="62">
        <v>42353</v>
      </c>
      <c r="I994" s="62">
        <v>42353</v>
      </c>
      <c r="J994" s="63">
        <v>245921.62</v>
      </c>
    </row>
    <row r="995" spans="1:10" ht="17.25" outlineLevel="1" thickBot="1" x14ac:dyDescent="0.3">
      <c r="A995" s="812" t="s">
        <v>628</v>
      </c>
      <c r="B995" s="813"/>
      <c r="C995" s="156"/>
      <c r="D995" s="157">
        <f>SUM(D990:D994)</f>
        <v>7335406.8999999994</v>
      </c>
      <c r="E995" s="88"/>
      <c r="F995" s="88"/>
      <c r="G995" s="158">
        <f>SUM(G990:G994)</f>
        <v>7202725.2799999993</v>
      </c>
      <c r="H995" s="88"/>
      <c r="I995" s="130"/>
      <c r="J995" s="157">
        <f>SUM(J990:J994)</f>
        <v>7335406.8999999994</v>
      </c>
    </row>
    <row r="996" spans="1:10" s="4" customFormat="1" ht="33" x14ac:dyDescent="0.25">
      <c r="A996" s="790">
        <v>15</v>
      </c>
      <c r="B996" s="788" t="s">
        <v>220</v>
      </c>
      <c r="C996" s="70" t="s">
        <v>38</v>
      </c>
      <c r="D996" s="52">
        <v>607621.78</v>
      </c>
      <c r="E996" s="240" t="s">
        <v>962</v>
      </c>
      <c r="F996" s="70" t="s">
        <v>716</v>
      </c>
      <c r="G996" s="148">
        <v>606847.56000000006</v>
      </c>
      <c r="H996" s="50">
        <v>42623</v>
      </c>
      <c r="I996" s="72">
        <v>42640</v>
      </c>
      <c r="J996" s="51">
        <v>607621.78</v>
      </c>
    </row>
    <row r="997" spans="1:10" ht="33" outlineLevel="1" x14ac:dyDescent="0.25">
      <c r="A997" s="791"/>
      <c r="B997" s="789"/>
      <c r="C997" s="91" t="s">
        <v>34</v>
      </c>
      <c r="D997" s="52">
        <v>2903723.65</v>
      </c>
      <c r="E997" s="91" t="s">
        <v>962</v>
      </c>
      <c r="F997" s="91" t="s">
        <v>716</v>
      </c>
      <c r="G997" s="149">
        <v>3048758.12</v>
      </c>
      <c r="H997" s="75">
        <v>42620</v>
      </c>
      <c r="I997" s="75">
        <v>42640</v>
      </c>
      <c r="J997" s="52">
        <v>2903723.65</v>
      </c>
    </row>
    <row r="998" spans="1:10" ht="33" outlineLevel="1" x14ac:dyDescent="0.25">
      <c r="A998" s="791"/>
      <c r="B998" s="789"/>
      <c r="C998" s="91" t="s">
        <v>35</v>
      </c>
      <c r="D998" s="52">
        <v>706285.43</v>
      </c>
      <c r="E998" s="91" t="s">
        <v>962</v>
      </c>
      <c r="F998" s="221" t="s">
        <v>716</v>
      </c>
      <c r="G998" s="149">
        <v>778094.87</v>
      </c>
      <c r="H998" s="75">
        <v>42616</v>
      </c>
      <c r="I998" s="75">
        <v>42640</v>
      </c>
      <c r="J998" s="52">
        <v>706285.43</v>
      </c>
    </row>
    <row r="999" spans="1:10" ht="33" outlineLevel="1" x14ac:dyDescent="0.25">
      <c r="A999" s="791"/>
      <c r="B999" s="789"/>
      <c r="C999" s="91" t="s">
        <v>36</v>
      </c>
      <c r="D999" s="52">
        <v>314567.51</v>
      </c>
      <c r="E999" s="105" t="s">
        <v>962</v>
      </c>
      <c r="F999" s="91" t="s">
        <v>716</v>
      </c>
      <c r="G999" s="149">
        <v>326299.45</v>
      </c>
      <c r="H999" s="75">
        <v>42617</v>
      </c>
      <c r="I999" s="76">
        <v>42640</v>
      </c>
      <c r="J999" s="52">
        <v>314567.51</v>
      </c>
    </row>
    <row r="1000" spans="1:10" ht="33" outlineLevel="1" x14ac:dyDescent="0.25">
      <c r="A1000" s="791"/>
      <c r="B1000" s="789"/>
      <c r="C1000" s="91" t="s">
        <v>501</v>
      </c>
      <c r="D1000" s="52">
        <v>3070000</v>
      </c>
      <c r="E1000" s="91" t="s">
        <v>1019</v>
      </c>
      <c r="F1000" s="91" t="s">
        <v>787</v>
      </c>
      <c r="G1000" s="149">
        <v>3070000</v>
      </c>
      <c r="H1000" s="75">
        <v>42689</v>
      </c>
      <c r="I1000" s="75">
        <v>42704</v>
      </c>
      <c r="J1000" s="52">
        <v>2967266.68</v>
      </c>
    </row>
    <row r="1001" spans="1:10" ht="33" outlineLevel="1" x14ac:dyDescent="0.25">
      <c r="A1001" s="791"/>
      <c r="B1001" s="789"/>
      <c r="C1001" s="116" t="s">
        <v>37</v>
      </c>
      <c r="D1001" s="59">
        <v>254172.17</v>
      </c>
      <c r="E1001" s="60" t="s">
        <v>540</v>
      </c>
      <c r="F1001" s="60" t="s">
        <v>539</v>
      </c>
      <c r="G1001" s="61">
        <v>253105.85</v>
      </c>
      <c r="H1001" s="62">
        <v>42353</v>
      </c>
      <c r="I1001" s="62">
        <v>42353</v>
      </c>
      <c r="J1001" s="63">
        <v>254172.17</v>
      </c>
    </row>
    <row r="1002" spans="1:10" ht="17.25" outlineLevel="1" thickBot="1" x14ac:dyDescent="0.3">
      <c r="A1002" s="752" t="s">
        <v>628</v>
      </c>
      <c r="B1002" s="753"/>
      <c r="C1002" s="301"/>
      <c r="D1002" s="77">
        <f>SUM(D996:D1001)</f>
        <v>7856370.5399999991</v>
      </c>
      <c r="E1002" s="90"/>
      <c r="F1002" s="90"/>
      <c r="G1002" s="79">
        <f>SUM(G996:G1001)</f>
        <v>8083105.8499999996</v>
      </c>
      <c r="H1002" s="123"/>
      <c r="I1002" s="123"/>
      <c r="J1002" s="249">
        <f>SUM(J996:J1001)</f>
        <v>7753637.2199999988</v>
      </c>
    </row>
    <row r="1003" spans="1:10" ht="33" outlineLevel="1" x14ac:dyDescent="0.25">
      <c r="A1003" s="302">
        <v>16</v>
      </c>
      <c r="B1003" s="303" t="s">
        <v>991</v>
      </c>
      <c r="C1003" s="304" t="s">
        <v>501</v>
      </c>
      <c r="D1003" s="305">
        <v>11962988.68</v>
      </c>
      <c r="E1003" s="240" t="s">
        <v>761</v>
      </c>
      <c r="F1003" s="240" t="s">
        <v>755</v>
      </c>
      <c r="G1003" s="306">
        <v>13363289</v>
      </c>
      <c r="H1003" s="72">
        <v>42289</v>
      </c>
      <c r="I1003" s="72">
        <v>42394</v>
      </c>
      <c r="J1003" s="227">
        <f>11962988.68+1799466.96</f>
        <v>13762455.640000001</v>
      </c>
    </row>
    <row r="1004" spans="1:10" ht="17.25" outlineLevel="1" thickBot="1" x14ac:dyDescent="0.3">
      <c r="A1004" s="781" t="s">
        <v>628</v>
      </c>
      <c r="B1004" s="782"/>
      <c r="C1004" s="307"/>
      <c r="D1004" s="64">
        <f>D1003</f>
        <v>11962988.68</v>
      </c>
      <c r="E1004" s="88"/>
      <c r="F1004" s="88"/>
      <c r="G1004" s="66">
        <f>G1003</f>
        <v>13363289</v>
      </c>
      <c r="H1004" s="124"/>
      <c r="I1004" s="124"/>
      <c r="J1004" s="68">
        <f>J1003</f>
        <v>13762455.640000001</v>
      </c>
    </row>
    <row r="1005" spans="1:10" s="7" customFormat="1" ht="19.5" customHeight="1" outlineLevel="1" thickBot="1" x14ac:dyDescent="0.3">
      <c r="A1005" s="846" t="s">
        <v>1008</v>
      </c>
      <c r="B1005" s="847"/>
      <c r="C1005" s="784"/>
      <c r="D1005" s="197">
        <v>1718488.85</v>
      </c>
      <c r="E1005" s="198"/>
      <c r="F1005" s="199"/>
      <c r="G1005" s="200">
        <f>SUM(G1006:G1012)</f>
        <v>1718488.8499999999</v>
      </c>
      <c r="H1005" s="201"/>
      <c r="I1005" s="202"/>
      <c r="J1005" s="200">
        <f>SUM(J1006:J1012)</f>
        <v>1718488.8499999999</v>
      </c>
    </row>
    <row r="1006" spans="1:10" s="20" customFormat="1" ht="28.5" customHeight="1" outlineLevel="1" x14ac:dyDescent="0.25">
      <c r="A1006" s="546"/>
      <c r="B1006" s="547" t="s">
        <v>1099</v>
      </c>
      <c r="C1006" s="534" t="s">
        <v>37</v>
      </c>
      <c r="D1006" s="104"/>
      <c r="E1006" s="708" t="s">
        <v>1106</v>
      </c>
      <c r="F1006" s="708" t="s">
        <v>537</v>
      </c>
      <c r="G1006" s="104">
        <v>224516.41</v>
      </c>
      <c r="H1006" s="676">
        <v>42760</v>
      </c>
      <c r="I1006" s="675">
        <v>42795</v>
      </c>
      <c r="J1006" s="104">
        <v>224516.41</v>
      </c>
    </row>
    <row r="1007" spans="1:10" s="20" customFormat="1" ht="27" customHeight="1" outlineLevel="1" x14ac:dyDescent="0.25">
      <c r="A1007" s="540"/>
      <c r="B1007" s="548" t="s">
        <v>1100</v>
      </c>
      <c r="C1007" s="110" t="s">
        <v>37</v>
      </c>
      <c r="D1007" s="73"/>
      <c r="E1007" s="708"/>
      <c r="F1007" s="708"/>
      <c r="G1007" s="73">
        <v>97591.73</v>
      </c>
      <c r="H1007" s="676"/>
      <c r="I1007" s="678"/>
      <c r="J1007" s="73">
        <v>97591.73</v>
      </c>
    </row>
    <row r="1008" spans="1:10" s="20" customFormat="1" ht="27" customHeight="1" outlineLevel="1" x14ac:dyDescent="0.25">
      <c r="A1008" s="540"/>
      <c r="B1008" s="548" t="s">
        <v>1101</v>
      </c>
      <c r="C1008" s="110" t="s">
        <v>37</v>
      </c>
      <c r="D1008" s="73"/>
      <c r="E1008" s="708"/>
      <c r="F1008" s="708"/>
      <c r="G1008" s="73">
        <v>415395.09</v>
      </c>
      <c r="H1008" s="676"/>
      <c r="I1008" s="678"/>
      <c r="J1008" s="73">
        <v>415395.08</v>
      </c>
    </row>
    <row r="1009" spans="1:10" s="20" customFormat="1" ht="30" customHeight="1" outlineLevel="1" x14ac:dyDescent="0.25">
      <c r="A1009" s="540"/>
      <c r="B1009" s="548" t="s">
        <v>1102</v>
      </c>
      <c r="C1009" s="110" t="s">
        <v>37</v>
      </c>
      <c r="D1009" s="73"/>
      <c r="E1009" s="708"/>
      <c r="F1009" s="708"/>
      <c r="G1009" s="73">
        <v>371473.93</v>
      </c>
      <c r="H1009" s="676"/>
      <c r="I1009" s="678"/>
      <c r="J1009" s="73">
        <v>371473.94</v>
      </c>
    </row>
    <row r="1010" spans="1:10" s="20" customFormat="1" ht="27" customHeight="1" outlineLevel="1" x14ac:dyDescent="0.25">
      <c r="A1010" s="540"/>
      <c r="B1010" s="548" t="s">
        <v>1103</v>
      </c>
      <c r="C1010" s="110" t="s">
        <v>37</v>
      </c>
      <c r="D1010" s="73"/>
      <c r="E1010" s="708"/>
      <c r="F1010" s="708"/>
      <c r="G1010" s="73">
        <v>86753.4</v>
      </c>
      <c r="H1010" s="676"/>
      <c r="I1010" s="678"/>
      <c r="J1010" s="73">
        <v>86753.4</v>
      </c>
    </row>
    <row r="1011" spans="1:10" s="20" customFormat="1" ht="28.5" customHeight="1" outlineLevel="1" x14ac:dyDescent="0.25">
      <c r="A1011" s="540"/>
      <c r="B1011" s="548" t="s">
        <v>1104</v>
      </c>
      <c r="C1011" s="110" t="s">
        <v>37</v>
      </c>
      <c r="D1011" s="73"/>
      <c r="E1011" s="708"/>
      <c r="F1011" s="708"/>
      <c r="G1011" s="73">
        <v>269892.83</v>
      </c>
      <c r="H1011" s="676"/>
      <c r="I1011" s="678"/>
      <c r="J1011" s="73">
        <v>269892.83</v>
      </c>
    </row>
    <row r="1012" spans="1:10" s="20" customFormat="1" ht="28.5" customHeight="1" outlineLevel="1" thickBot="1" x14ac:dyDescent="0.3">
      <c r="A1012" s="549"/>
      <c r="B1012" s="550" t="s">
        <v>1105</v>
      </c>
      <c r="C1012" s="538" t="s">
        <v>37</v>
      </c>
      <c r="D1012" s="127"/>
      <c r="E1012" s="708"/>
      <c r="F1012" s="708"/>
      <c r="G1012" s="127">
        <v>252865.46</v>
      </c>
      <c r="H1012" s="676"/>
      <c r="I1012" s="680"/>
      <c r="J1012" s="127">
        <v>252865.46</v>
      </c>
    </row>
    <row r="1013" spans="1:10" ht="17.25" outlineLevel="1" thickBot="1" x14ac:dyDescent="0.3">
      <c r="A1013" s="738" t="s">
        <v>629</v>
      </c>
      <c r="B1013" s="739"/>
      <c r="C1013" s="44"/>
      <c r="D1013" s="43">
        <f>SUM(D1004,D995,D989,D983,D975,D972,D966,D963,D955,D948,D940,D932,D925,D922,D919,D1002,D1005)</f>
        <v>236205741.02419999</v>
      </c>
      <c r="E1013" s="44"/>
      <c r="F1013" s="44"/>
      <c r="G1013" s="43">
        <f>SUM(G1004,G995,G989,G983,G975,G972,G966,G963,G955,G948,G940,G932,G925,G922,G919,G1002,G1005)</f>
        <v>237041840.91638374</v>
      </c>
      <c r="H1013" s="44"/>
      <c r="I1013" s="205"/>
      <c r="J1013" s="43">
        <f>SUM(J1005,J1004,J995,J989,J983,J975,J972,J966,J963,J955,J948,J940,J932,J925,J922,J919,J1002)</f>
        <v>216925604.49520004</v>
      </c>
    </row>
    <row r="1014" spans="1:10" s="4" customFormat="1" ht="24.75" customHeight="1" thickBot="1" x14ac:dyDescent="0.3">
      <c r="A1014" s="759" t="s">
        <v>641</v>
      </c>
      <c r="B1014" s="760"/>
      <c r="C1014" s="760"/>
      <c r="D1014" s="760"/>
      <c r="E1014" s="760"/>
      <c r="F1014" s="760"/>
      <c r="G1014" s="760"/>
      <c r="H1014" s="760"/>
      <c r="I1014" s="760"/>
      <c r="J1014" s="760"/>
    </row>
    <row r="1015" spans="1:10" s="5" customFormat="1" ht="33" x14ac:dyDescent="0.25">
      <c r="A1015" s="718">
        <v>1</v>
      </c>
      <c r="B1015" s="723" t="s">
        <v>224</v>
      </c>
      <c r="C1015" s="51" t="s">
        <v>34</v>
      </c>
      <c r="D1015" s="51">
        <v>3406681.33</v>
      </c>
      <c r="E1015" s="51" t="s">
        <v>890</v>
      </c>
      <c r="F1015" s="51" t="s">
        <v>891</v>
      </c>
      <c r="G1015" s="148">
        <v>3868775.14</v>
      </c>
      <c r="H1015" s="50">
        <v>42612</v>
      </c>
      <c r="I1015" s="50">
        <v>42612</v>
      </c>
      <c r="J1015" s="51">
        <v>3352504.37</v>
      </c>
    </row>
    <row r="1016" spans="1:10" s="7" customFormat="1" ht="33" outlineLevel="1" x14ac:dyDescent="0.25">
      <c r="A1016" s="719"/>
      <c r="B1016" s="721"/>
      <c r="C1016" s="52" t="s">
        <v>35</v>
      </c>
      <c r="D1016" s="52">
        <v>1141796.3</v>
      </c>
      <c r="E1016" s="107" t="s">
        <v>890</v>
      </c>
      <c r="F1016" s="107" t="s">
        <v>891</v>
      </c>
      <c r="G1016" s="149">
        <v>1319584.56</v>
      </c>
      <c r="H1016" s="75">
        <v>42612</v>
      </c>
      <c r="I1016" s="76">
        <v>42612</v>
      </c>
      <c r="J1016" s="52">
        <v>1071458.31</v>
      </c>
    </row>
    <row r="1017" spans="1:10" s="7" customFormat="1" ht="33" outlineLevel="1" x14ac:dyDescent="0.25">
      <c r="A1017" s="719"/>
      <c r="B1017" s="721"/>
      <c r="C1017" s="150" t="s">
        <v>37</v>
      </c>
      <c r="D1017" s="151">
        <v>87336.91</v>
      </c>
      <c r="E1017" s="155" t="s">
        <v>550</v>
      </c>
      <c r="F1017" s="152" t="s">
        <v>541</v>
      </c>
      <c r="G1017" s="153">
        <v>87420.98</v>
      </c>
      <c r="H1017" s="154">
        <v>42460</v>
      </c>
      <c r="I1017" s="154">
        <v>42593</v>
      </c>
      <c r="J1017" s="155">
        <v>87336.91</v>
      </c>
    </row>
    <row r="1018" spans="1:10" s="7" customFormat="1" ht="17.25" outlineLevel="1" thickBot="1" x14ac:dyDescent="0.3">
      <c r="A1018" s="686" t="s">
        <v>628</v>
      </c>
      <c r="B1018" s="687"/>
      <c r="C1018" s="206"/>
      <c r="D1018" s="157">
        <f>SUM(D1015:D1017)</f>
        <v>4635814.54</v>
      </c>
      <c r="E1018" s="310"/>
      <c r="F1018" s="310"/>
      <c r="G1018" s="158">
        <f>SUM(G1015:G1017)</f>
        <v>5275780.6800000006</v>
      </c>
      <c r="H1018" s="124"/>
      <c r="I1018" s="130"/>
      <c r="J1018" s="68">
        <f>SUM(J1015:J1017)</f>
        <v>4511299.59</v>
      </c>
    </row>
    <row r="1019" spans="1:10" s="5" customFormat="1" ht="33" x14ac:dyDescent="0.25">
      <c r="A1019" s="718">
        <v>2</v>
      </c>
      <c r="B1019" s="723" t="s">
        <v>225</v>
      </c>
      <c r="C1019" s="51" t="s">
        <v>34</v>
      </c>
      <c r="D1019" s="51">
        <v>3406681.33</v>
      </c>
      <c r="E1019" s="51" t="s">
        <v>890</v>
      </c>
      <c r="F1019" s="51" t="s">
        <v>891</v>
      </c>
      <c r="G1019" s="148">
        <v>3868775.14</v>
      </c>
      <c r="H1019" s="50">
        <v>42612</v>
      </c>
      <c r="I1019" s="50">
        <v>42612</v>
      </c>
      <c r="J1019" s="51">
        <v>3352504.37</v>
      </c>
    </row>
    <row r="1020" spans="1:10" s="7" customFormat="1" ht="33" outlineLevel="1" x14ac:dyDescent="0.25">
      <c r="A1020" s="719"/>
      <c r="B1020" s="721"/>
      <c r="C1020" s="52" t="s">
        <v>35</v>
      </c>
      <c r="D1020" s="52">
        <v>1141796.3</v>
      </c>
      <c r="E1020" s="107" t="s">
        <v>890</v>
      </c>
      <c r="F1020" s="107" t="s">
        <v>891</v>
      </c>
      <c r="G1020" s="149">
        <v>1319584.56</v>
      </c>
      <c r="H1020" s="75">
        <v>42612</v>
      </c>
      <c r="I1020" s="75">
        <v>42612</v>
      </c>
      <c r="J1020" s="52">
        <v>1071458.31</v>
      </c>
    </row>
    <row r="1021" spans="1:10" s="7" customFormat="1" ht="33" outlineLevel="1" x14ac:dyDescent="0.25">
      <c r="A1021" s="719"/>
      <c r="B1021" s="721"/>
      <c r="C1021" s="150" t="s">
        <v>37</v>
      </c>
      <c r="D1021" s="151">
        <v>83011.13</v>
      </c>
      <c r="E1021" s="155" t="s">
        <v>550</v>
      </c>
      <c r="F1021" s="152" t="s">
        <v>541</v>
      </c>
      <c r="G1021" s="153">
        <v>83091.039999999994</v>
      </c>
      <c r="H1021" s="154">
        <v>42460</v>
      </c>
      <c r="I1021" s="154">
        <v>42593</v>
      </c>
      <c r="J1021" s="155">
        <v>83011.13</v>
      </c>
    </row>
    <row r="1022" spans="1:10" s="7" customFormat="1" ht="17.25" outlineLevel="1" thickBot="1" x14ac:dyDescent="0.3">
      <c r="A1022" s="724" t="s">
        <v>628</v>
      </c>
      <c r="B1022" s="725"/>
      <c r="C1022" s="208"/>
      <c r="D1022" s="157">
        <f>SUM(D1019:D1021)</f>
        <v>4631488.76</v>
      </c>
      <c r="E1022" s="125"/>
      <c r="F1022" s="125"/>
      <c r="G1022" s="158">
        <f>SUM(G1019:G1021)</f>
        <v>5271450.74</v>
      </c>
      <c r="H1022" s="123"/>
      <c r="I1022" s="108"/>
      <c r="J1022" s="249">
        <f>SUM(J1019:J1021)</f>
        <v>4506973.8099999996</v>
      </c>
    </row>
    <row r="1023" spans="1:10" s="5" customFormat="1" ht="33" x14ac:dyDescent="0.25">
      <c r="A1023" s="718">
        <v>3</v>
      </c>
      <c r="B1023" s="723" t="s">
        <v>236</v>
      </c>
      <c r="C1023" s="51" t="s">
        <v>500</v>
      </c>
      <c r="D1023" s="51">
        <v>3145085.86</v>
      </c>
      <c r="E1023" s="51" t="s">
        <v>890</v>
      </c>
      <c r="F1023" s="51" t="s">
        <v>891</v>
      </c>
      <c r="G1023" s="148">
        <v>3145085.86</v>
      </c>
      <c r="H1023" s="50">
        <v>42599</v>
      </c>
      <c r="I1023" s="50">
        <v>42670</v>
      </c>
      <c r="J1023" s="51">
        <v>2820717.81</v>
      </c>
    </row>
    <row r="1024" spans="1:10" s="5" customFormat="1" ht="15" customHeight="1" x14ac:dyDescent="0.25">
      <c r="A1024" s="845"/>
      <c r="B1024" s="720"/>
      <c r="C1024" s="121" t="s">
        <v>1007</v>
      </c>
      <c r="D1024" s="179">
        <v>96439.03</v>
      </c>
      <c r="E1024" s="181"/>
      <c r="F1024" s="181"/>
      <c r="G1024" s="162"/>
      <c r="H1024" s="58"/>
      <c r="I1024" s="250"/>
      <c r="J1024" s="251"/>
    </row>
    <row r="1025" spans="1:10" s="7" customFormat="1" ht="33" outlineLevel="1" x14ac:dyDescent="0.25">
      <c r="A1025" s="719"/>
      <c r="B1025" s="721"/>
      <c r="C1025" s="150" t="s">
        <v>37</v>
      </c>
      <c r="D1025" s="151">
        <v>67197.48</v>
      </c>
      <c r="E1025" s="155" t="s">
        <v>550</v>
      </c>
      <c r="F1025" s="152" t="s">
        <v>541</v>
      </c>
      <c r="G1025" s="153">
        <v>67262.16</v>
      </c>
      <c r="H1025" s="154">
        <v>42460</v>
      </c>
      <c r="I1025" s="154">
        <v>42593</v>
      </c>
      <c r="J1025" s="155">
        <v>67197.48</v>
      </c>
    </row>
    <row r="1026" spans="1:10" s="7" customFormat="1" ht="17.25" outlineLevel="1" thickBot="1" x14ac:dyDescent="0.3">
      <c r="A1026" s="686" t="s">
        <v>628</v>
      </c>
      <c r="B1026" s="687"/>
      <c r="C1026" s="206"/>
      <c r="D1026" s="157">
        <f>SUM(D1023:D1025)</f>
        <v>3308722.3699999996</v>
      </c>
      <c r="E1026" s="125"/>
      <c r="F1026" s="125"/>
      <c r="G1026" s="158">
        <f>SUM(G1023:G1025)</f>
        <v>3212348.02</v>
      </c>
      <c r="H1026" s="124"/>
      <c r="I1026" s="130"/>
      <c r="J1026" s="68">
        <f>SUM(J1023:J1025)</f>
        <v>2887915.29</v>
      </c>
    </row>
    <row r="1027" spans="1:10" s="5" customFormat="1" ht="33" x14ac:dyDescent="0.25">
      <c r="A1027" s="718">
        <v>4</v>
      </c>
      <c r="B1027" s="723" t="s">
        <v>226</v>
      </c>
      <c r="C1027" s="51" t="s">
        <v>38</v>
      </c>
      <c r="D1027" s="51">
        <v>734054.97</v>
      </c>
      <c r="E1027" s="51" t="s">
        <v>890</v>
      </c>
      <c r="F1027" s="51" t="s">
        <v>891</v>
      </c>
      <c r="G1027" s="148">
        <v>817491.02</v>
      </c>
      <c r="H1027" s="50">
        <v>42612</v>
      </c>
      <c r="I1027" s="50">
        <v>42612</v>
      </c>
      <c r="J1027" s="51">
        <v>734054.97</v>
      </c>
    </row>
    <row r="1028" spans="1:10" s="7" customFormat="1" ht="33" outlineLevel="1" x14ac:dyDescent="0.25">
      <c r="A1028" s="719"/>
      <c r="B1028" s="721"/>
      <c r="C1028" s="52" t="s">
        <v>500</v>
      </c>
      <c r="D1028" s="52">
        <v>3145085.86</v>
      </c>
      <c r="E1028" s="107" t="s">
        <v>890</v>
      </c>
      <c r="F1028" s="107" t="s">
        <v>891</v>
      </c>
      <c r="G1028" s="149">
        <v>3145085.86</v>
      </c>
      <c r="H1028" s="75">
        <v>42630</v>
      </c>
      <c r="I1028" s="75">
        <v>42612</v>
      </c>
      <c r="J1028" s="52">
        <v>2820717.81</v>
      </c>
    </row>
    <row r="1029" spans="1:10" s="7" customFormat="1" ht="17.25" customHeight="1" outlineLevel="1" x14ac:dyDescent="0.25">
      <c r="A1029" s="719"/>
      <c r="B1029" s="721"/>
      <c r="C1029" s="121" t="s">
        <v>1007</v>
      </c>
      <c r="D1029" s="121">
        <v>113596.83</v>
      </c>
      <c r="E1029" s="181"/>
      <c r="F1029" s="181"/>
      <c r="G1029" s="207"/>
      <c r="H1029" s="55"/>
      <c r="I1029" s="55"/>
      <c r="J1029" s="57"/>
    </row>
    <row r="1030" spans="1:10" s="7" customFormat="1" ht="33" outlineLevel="1" x14ac:dyDescent="0.25">
      <c r="A1030" s="719"/>
      <c r="B1030" s="721"/>
      <c r="C1030" s="150" t="s">
        <v>37</v>
      </c>
      <c r="D1030" s="151">
        <v>90796.82</v>
      </c>
      <c r="E1030" s="155" t="s">
        <v>550</v>
      </c>
      <c r="F1030" s="152" t="s">
        <v>541</v>
      </c>
      <c r="G1030" s="153">
        <v>90884.21</v>
      </c>
      <c r="H1030" s="154">
        <v>42460</v>
      </c>
      <c r="I1030" s="154">
        <v>42593</v>
      </c>
      <c r="J1030" s="155">
        <v>90796.82</v>
      </c>
    </row>
    <row r="1031" spans="1:10" s="7" customFormat="1" ht="17.25" outlineLevel="1" thickBot="1" x14ac:dyDescent="0.3">
      <c r="A1031" s="686" t="s">
        <v>628</v>
      </c>
      <c r="B1031" s="687"/>
      <c r="C1031" s="206"/>
      <c r="D1031" s="157">
        <f>SUM(D1027:D1030)</f>
        <v>4083534.48</v>
      </c>
      <c r="E1031" s="310"/>
      <c r="F1031" s="310"/>
      <c r="G1031" s="158">
        <f>SUM(G1027:G1030)</f>
        <v>4053461.09</v>
      </c>
      <c r="H1031" s="124"/>
      <c r="I1031" s="130"/>
      <c r="J1031" s="68">
        <f>SUM(J1027:J1030)</f>
        <v>3645569.6</v>
      </c>
    </row>
    <row r="1032" spans="1:10" s="5" customFormat="1" ht="28.5" customHeight="1" x14ac:dyDescent="0.25">
      <c r="A1032" s="718">
        <v>5</v>
      </c>
      <c r="B1032" s="723" t="s">
        <v>227</v>
      </c>
      <c r="C1032" s="51" t="s">
        <v>34</v>
      </c>
      <c r="D1032" s="51">
        <v>3190469.53</v>
      </c>
      <c r="E1032" s="51" t="s">
        <v>890</v>
      </c>
      <c r="F1032" s="51" t="s">
        <v>891</v>
      </c>
      <c r="G1032" s="148">
        <v>4051439.14</v>
      </c>
      <c r="H1032" s="50">
        <v>42612</v>
      </c>
      <c r="I1032" s="50">
        <v>42612</v>
      </c>
      <c r="J1032" s="51">
        <v>3136363.88</v>
      </c>
    </row>
    <row r="1033" spans="1:10" s="7" customFormat="1" ht="33" outlineLevel="1" x14ac:dyDescent="0.25">
      <c r="A1033" s="719"/>
      <c r="B1033" s="721"/>
      <c r="C1033" s="150" t="s">
        <v>37</v>
      </c>
      <c r="D1033" s="151">
        <v>57421.82</v>
      </c>
      <c r="E1033" s="155" t="s">
        <v>550</v>
      </c>
      <c r="F1033" s="152" t="s">
        <v>541</v>
      </c>
      <c r="G1033" s="153">
        <v>57477.09</v>
      </c>
      <c r="H1033" s="154">
        <v>42460</v>
      </c>
      <c r="I1033" s="154">
        <v>42593</v>
      </c>
      <c r="J1033" s="155">
        <v>57421.82</v>
      </c>
    </row>
    <row r="1034" spans="1:10" s="7" customFormat="1" ht="17.25" outlineLevel="1" thickBot="1" x14ac:dyDescent="0.3">
      <c r="A1034" s="686" t="s">
        <v>628</v>
      </c>
      <c r="B1034" s="687"/>
      <c r="C1034" s="206"/>
      <c r="D1034" s="157">
        <f>SUM(D1032:D1033)</f>
        <v>3247891.3499999996</v>
      </c>
      <c r="E1034" s="310"/>
      <c r="F1034" s="310"/>
      <c r="G1034" s="158">
        <f>SUM(G1032:G1033)</f>
        <v>4108916.23</v>
      </c>
      <c r="H1034" s="124"/>
      <c r="I1034" s="130"/>
      <c r="J1034" s="68">
        <f>SUM(J1032:J1033)</f>
        <v>3193785.6999999997</v>
      </c>
    </row>
    <row r="1035" spans="1:10" s="5" customFormat="1" ht="33" x14ac:dyDescent="0.25">
      <c r="A1035" s="718">
        <v>6</v>
      </c>
      <c r="B1035" s="723" t="s">
        <v>228</v>
      </c>
      <c r="C1035" s="51" t="s">
        <v>35</v>
      </c>
      <c r="D1035" s="51">
        <v>813565.54</v>
      </c>
      <c r="E1035" s="51" t="s">
        <v>890</v>
      </c>
      <c r="F1035" s="51" t="s">
        <v>891</v>
      </c>
      <c r="G1035" s="148">
        <v>938131.86</v>
      </c>
      <c r="H1035" s="50">
        <v>42612</v>
      </c>
      <c r="I1035" s="50">
        <v>42612</v>
      </c>
      <c r="J1035" s="51">
        <v>773577.05</v>
      </c>
    </row>
    <row r="1036" spans="1:10" s="7" customFormat="1" ht="33" outlineLevel="1" x14ac:dyDescent="0.25">
      <c r="A1036" s="719"/>
      <c r="B1036" s="721"/>
      <c r="C1036" s="150" t="s">
        <v>37</v>
      </c>
      <c r="D1036" s="151">
        <v>55284.79</v>
      </c>
      <c r="E1036" s="155" t="s">
        <v>550</v>
      </c>
      <c r="F1036" s="152" t="s">
        <v>541</v>
      </c>
      <c r="G1036" s="153">
        <v>55338</v>
      </c>
      <c r="H1036" s="154">
        <v>42460</v>
      </c>
      <c r="I1036" s="154">
        <v>42593</v>
      </c>
      <c r="J1036" s="155">
        <v>55284.789999999994</v>
      </c>
    </row>
    <row r="1037" spans="1:10" s="7" customFormat="1" ht="17.25" outlineLevel="1" thickBot="1" x14ac:dyDescent="0.3">
      <c r="A1037" s="686" t="s">
        <v>628</v>
      </c>
      <c r="B1037" s="687"/>
      <c r="C1037" s="206"/>
      <c r="D1037" s="157">
        <f>SUM(D1035:D1036)</f>
        <v>868850.33000000007</v>
      </c>
      <c r="E1037" s="310"/>
      <c r="F1037" s="181"/>
      <c r="G1037" s="158">
        <f>SUM(G1035:G1036)</f>
        <v>993469.86</v>
      </c>
      <c r="H1037" s="124"/>
      <c r="I1037" s="130"/>
      <c r="J1037" s="68">
        <f>SUM(J1035:J1036)</f>
        <v>828861.84000000008</v>
      </c>
    </row>
    <row r="1038" spans="1:10" s="5" customFormat="1" ht="28.5" customHeight="1" x14ac:dyDescent="0.25">
      <c r="A1038" s="718">
        <v>7</v>
      </c>
      <c r="B1038" s="723" t="s">
        <v>229</v>
      </c>
      <c r="C1038" s="51" t="s">
        <v>35</v>
      </c>
      <c r="D1038" s="51">
        <v>567758.56000000006</v>
      </c>
      <c r="E1038" s="51" t="s">
        <v>890</v>
      </c>
      <c r="F1038" s="51" t="s">
        <v>891</v>
      </c>
      <c r="G1038" s="148">
        <v>1078114.08</v>
      </c>
      <c r="H1038" s="50">
        <v>42612</v>
      </c>
      <c r="I1038" s="50">
        <v>42612</v>
      </c>
      <c r="J1038" s="51">
        <v>503815.28</v>
      </c>
    </row>
    <row r="1039" spans="1:10" s="7" customFormat="1" ht="33" outlineLevel="1" x14ac:dyDescent="0.25">
      <c r="A1039" s="719"/>
      <c r="B1039" s="721"/>
      <c r="C1039" s="150" t="s">
        <v>37</v>
      </c>
      <c r="D1039" s="151">
        <v>55275.05</v>
      </c>
      <c r="E1039" s="155" t="s">
        <v>550</v>
      </c>
      <c r="F1039" s="152" t="s">
        <v>541</v>
      </c>
      <c r="G1039" s="153">
        <v>55328.25</v>
      </c>
      <c r="H1039" s="154">
        <v>42460</v>
      </c>
      <c r="I1039" s="154">
        <v>42593</v>
      </c>
      <c r="J1039" s="155">
        <v>55275.05</v>
      </c>
    </row>
    <row r="1040" spans="1:10" s="7" customFormat="1" ht="17.25" outlineLevel="1" thickBot="1" x14ac:dyDescent="0.3">
      <c r="A1040" s="724" t="s">
        <v>628</v>
      </c>
      <c r="B1040" s="725"/>
      <c r="C1040" s="208"/>
      <c r="D1040" s="157">
        <f>SUM(D1038:D1039)</f>
        <v>623033.6100000001</v>
      </c>
      <c r="E1040" s="125"/>
      <c r="F1040" s="125"/>
      <c r="G1040" s="158">
        <f>SUM(G1038:G1039)</f>
        <v>1133442.33</v>
      </c>
      <c r="H1040" s="123"/>
      <c r="I1040" s="108"/>
      <c r="J1040" s="249">
        <f>SUM(J1038:J1039)</f>
        <v>559090.33000000007</v>
      </c>
    </row>
    <row r="1041" spans="1:10" s="5" customFormat="1" ht="28.5" customHeight="1" x14ac:dyDescent="0.25">
      <c r="A1041" s="718">
        <v>8</v>
      </c>
      <c r="B1041" s="723" t="s">
        <v>230</v>
      </c>
      <c r="C1041" s="51" t="s">
        <v>34</v>
      </c>
      <c r="D1041" s="51">
        <v>2736522.62</v>
      </c>
      <c r="E1041" s="51" t="s">
        <v>890</v>
      </c>
      <c r="F1041" s="51" t="s">
        <v>891</v>
      </c>
      <c r="G1041" s="148">
        <v>3090281.94</v>
      </c>
      <c r="H1041" s="50">
        <v>42612</v>
      </c>
      <c r="I1041" s="50">
        <v>42612</v>
      </c>
      <c r="J1041" s="51">
        <v>2700407.87</v>
      </c>
    </row>
    <row r="1042" spans="1:10" s="7" customFormat="1" ht="33" outlineLevel="1" x14ac:dyDescent="0.25">
      <c r="A1042" s="719"/>
      <c r="B1042" s="721"/>
      <c r="C1042" s="150" t="s">
        <v>37</v>
      </c>
      <c r="D1042" s="151">
        <v>68925.64</v>
      </c>
      <c r="E1042" s="155" t="s">
        <v>550</v>
      </c>
      <c r="F1042" s="152" t="s">
        <v>541</v>
      </c>
      <c r="G1042" s="153">
        <v>68991.98</v>
      </c>
      <c r="H1042" s="154">
        <v>42460</v>
      </c>
      <c r="I1042" s="154">
        <v>42593</v>
      </c>
      <c r="J1042" s="155">
        <v>68925.64</v>
      </c>
    </row>
    <row r="1043" spans="1:10" s="7" customFormat="1" ht="17.25" outlineLevel="1" thickBot="1" x14ac:dyDescent="0.3">
      <c r="A1043" s="686" t="s">
        <v>628</v>
      </c>
      <c r="B1043" s="687"/>
      <c r="C1043" s="206"/>
      <c r="D1043" s="157">
        <f>SUM(D1041:D1042)</f>
        <v>2805448.2600000002</v>
      </c>
      <c r="E1043" s="310"/>
      <c r="F1043" s="310"/>
      <c r="G1043" s="158">
        <f>SUM(G1041:G1042)</f>
        <v>3159273.92</v>
      </c>
      <c r="H1043" s="124"/>
      <c r="I1043" s="130"/>
      <c r="J1043" s="68">
        <f>SUM(J1041:J1042)</f>
        <v>2769333.5100000002</v>
      </c>
    </row>
    <row r="1044" spans="1:10" s="5" customFormat="1" ht="28.5" customHeight="1" x14ac:dyDescent="0.25">
      <c r="A1044" s="718">
        <v>9</v>
      </c>
      <c r="B1044" s="723" t="s">
        <v>231</v>
      </c>
      <c r="C1044" s="51" t="s">
        <v>38</v>
      </c>
      <c r="D1044" s="227">
        <v>588725.18999999994</v>
      </c>
      <c r="E1044" s="51" t="s">
        <v>890</v>
      </c>
      <c r="F1044" s="51" t="s">
        <v>891</v>
      </c>
      <c r="G1044" s="245">
        <v>660241.86</v>
      </c>
      <c r="H1044" s="50">
        <v>42612</v>
      </c>
      <c r="I1044" s="50">
        <v>42612</v>
      </c>
      <c r="J1044" s="227">
        <v>588725.18999999994</v>
      </c>
    </row>
    <row r="1045" spans="1:10" s="7" customFormat="1" ht="33" outlineLevel="1" x14ac:dyDescent="0.25">
      <c r="A1045" s="719"/>
      <c r="B1045" s="721"/>
      <c r="C1045" s="52" t="s">
        <v>34</v>
      </c>
      <c r="D1045" s="52">
        <v>3406681.33</v>
      </c>
      <c r="E1045" s="107" t="s">
        <v>890</v>
      </c>
      <c r="F1045" s="107" t="s">
        <v>891</v>
      </c>
      <c r="G1045" s="149">
        <v>3868775.14</v>
      </c>
      <c r="H1045" s="75">
        <v>42612</v>
      </c>
      <c r="I1045" s="75">
        <v>42612</v>
      </c>
      <c r="J1045" s="52">
        <v>3352504.37</v>
      </c>
    </row>
    <row r="1046" spans="1:10" s="7" customFormat="1" ht="33" outlineLevel="1" x14ac:dyDescent="0.25">
      <c r="A1046" s="719"/>
      <c r="B1046" s="721"/>
      <c r="C1046" s="150" t="s">
        <v>37</v>
      </c>
      <c r="D1046" s="151">
        <v>162359.67000000001</v>
      </c>
      <c r="E1046" s="155" t="s">
        <v>550</v>
      </c>
      <c r="F1046" s="152" t="s">
        <v>541</v>
      </c>
      <c r="G1046" s="153">
        <v>162515.95000000001</v>
      </c>
      <c r="H1046" s="154">
        <v>42460</v>
      </c>
      <c r="I1046" s="154">
        <v>42593</v>
      </c>
      <c r="J1046" s="155">
        <v>162359.67000000001</v>
      </c>
    </row>
    <row r="1047" spans="1:10" s="7" customFormat="1" ht="17.25" outlineLevel="1" thickBot="1" x14ac:dyDescent="0.3">
      <c r="A1047" s="686" t="s">
        <v>628</v>
      </c>
      <c r="B1047" s="687"/>
      <c r="C1047" s="206"/>
      <c r="D1047" s="157">
        <f>SUM(D1044:D1046)</f>
        <v>4157766.19</v>
      </c>
      <c r="E1047" s="310"/>
      <c r="F1047" s="310"/>
      <c r="G1047" s="158">
        <f>SUM(G1044:G1046)</f>
        <v>4691532.95</v>
      </c>
      <c r="H1047" s="124"/>
      <c r="I1047" s="130"/>
      <c r="J1047" s="68">
        <f>SUM(J1044:J1046)</f>
        <v>4103589.23</v>
      </c>
    </row>
    <row r="1048" spans="1:10" s="5" customFormat="1" ht="33" x14ac:dyDescent="0.25">
      <c r="A1048" s="718">
        <v>10</v>
      </c>
      <c r="B1048" s="723" t="s">
        <v>237</v>
      </c>
      <c r="C1048" s="51" t="s">
        <v>500</v>
      </c>
      <c r="D1048" s="51">
        <v>3649470.96</v>
      </c>
      <c r="E1048" s="51" t="s">
        <v>890</v>
      </c>
      <c r="F1048" s="51" t="s">
        <v>891</v>
      </c>
      <c r="G1048" s="148">
        <v>3649470.96</v>
      </c>
      <c r="H1048" s="50">
        <v>42630</v>
      </c>
      <c r="I1048" s="50">
        <v>42612</v>
      </c>
      <c r="J1048" s="51">
        <v>3271400.13</v>
      </c>
    </row>
    <row r="1049" spans="1:10" s="5" customFormat="1" ht="16.5" x14ac:dyDescent="0.25">
      <c r="A1049" s="845"/>
      <c r="B1049" s="720"/>
      <c r="C1049" s="121" t="s">
        <v>1007</v>
      </c>
      <c r="D1049" s="179">
        <v>96474.6</v>
      </c>
      <c r="E1049" s="181"/>
      <c r="F1049" s="181"/>
      <c r="G1049" s="162"/>
      <c r="H1049" s="58"/>
      <c r="I1049" s="252"/>
      <c r="J1049" s="251"/>
    </row>
    <row r="1050" spans="1:10" s="7" customFormat="1" ht="33" outlineLevel="1" x14ac:dyDescent="0.25">
      <c r="A1050" s="719"/>
      <c r="B1050" s="721"/>
      <c r="C1050" s="150" t="s">
        <v>37</v>
      </c>
      <c r="D1050" s="151">
        <v>68691.240000000005</v>
      </c>
      <c r="E1050" s="155" t="s">
        <v>550</v>
      </c>
      <c r="F1050" s="152" t="s">
        <v>541</v>
      </c>
      <c r="G1050" s="153">
        <v>68757.36</v>
      </c>
      <c r="H1050" s="154">
        <v>42460</v>
      </c>
      <c r="I1050" s="154">
        <v>42593</v>
      </c>
      <c r="J1050" s="155">
        <v>68691.239999999991</v>
      </c>
    </row>
    <row r="1051" spans="1:10" s="7" customFormat="1" ht="17.25" outlineLevel="1" thickBot="1" x14ac:dyDescent="0.3">
      <c r="A1051" s="724" t="s">
        <v>628</v>
      </c>
      <c r="B1051" s="725"/>
      <c r="C1051" s="208"/>
      <c r="D1051" s="157">
        <f>SUM(D1048:D1050)</f>
        <v>3814636.8000000003</v>
      </c>
      <c r="E1051" s="125"/>
      <c r="F1051" s="125"/>
      <c r="G1051" s="158">
        <f>SUM(G1048:G1050)</f>
        <v>3718228.32</v>
      </c>
      <c r="H1051" s="123"/>
      <c r="I1051" s="108"/>
      <c r="J1051" s="249">
        <f>SUM(J1048:J1050)</f>
        <v>3340091.37</v>
      </c>
    </row>
    <row r="1052" spans="1:10" s="5" customFormat="1" ht="33" x14ac:dyDescent="0.25">
      <c r="A1052" s="718">
        <v>11</v>
      </c>
      <c r="B1052" s="723" t="s">
        <v>232</v>
      </c>
      <c r="C1052" s="51" t="s">
        <v>34</v>
      </c>
      <c r="D1052" s="51">
        <v>2736522.62</v>
      </c>
      <c r="E1052" s="51" t="s">
        <v>890</v>
      </c>
      <c r="F1052" s="51" t="s">
        <v>891</v>
      </c>
      <c r="G1052" s="148">
        <v>3090281.94</v>
      </c>
      <c r="H1052" s="50">
        <v>42612</v>
      </c>
      <c r="I1052" s="50">
        <v>42612</v>
      </c>
      <c r="J1052" s="51">
        <v>2700407.87</v>
      </c>
    </row>
    <row r="1053" spans="1:10" s="7" customFormat="1" ht="33" outlineLevel="1" x14ac:dyDescent="0.25">
      <c r="A1053" s="719"/>
      <c r="B1053" s="721"/>
      <c r="C1053" s="150" t="s">
        <v>37</v>
      </c>
      <c r="D1053" s="151">
        <v>68749.2</v>
      </c>
      <c r="E1053" s="155" t="s">
        <v>550</v>
      </c>
      <c r="F1053" s="152" t="s">
        <v>541</v>
      </c>
      <c r="G1053" s="153">
        <v>68815.37</v>
      </c>
      <c r="H1053" s="154">
        <v>42460</v>
      </c>
      <c r="I1053" s="154">
        <v>42593</v>
      </c>
      <c r="J1053" s="155">
        <v>68749.2</v>
      </c>
    </row>
    <row r="1054" spans="1:10" s="7" customFormat="1" ht="17.25" outlineLevel="1" thickBot="1" x14ac:dyDescent="0.3">
      <c r="A1054" s="686" t="s">
        <v>628</v>
      </c>
      <c r="B1054" s="687"/>
      <c r="C1054" s="206"/>
      <c r="D1054" s="157">
        <f>SUM(D1052:D1053)</f>
        <v>2805271.8200000003</v>
      </c>
      <c r="E1054" s="310"/>
      <c r="F1054" s="310"/>
      <c r="G1054" s="158">
        <f>SUM(G1052:G1053)</f>
        <v>3159097.31</v>
      </c>
      <c r="H1054" s="124"/>
      <c r="I1054" s="130"/>
      <c r="J1054" s="68">
        <f>SUM(J1052:J1053)</f>
        <v>2769157.0700000003</v>
      </c>
    </row>
    <row r="1055" spans="1:10" s="5" customFormat="1" ht="33" x14ac:dyDescent="0.25">
      <c r="A1055" s="718">
        <v>12</v>
      </c>
      <c r="B1055" s="723" t="s">
        <v>516</v>
      </c>
      <c r="C1055" s="51" t="s">
        <v>35</v>
      </c>
      <c r="D1055" s="51">
        <v>813565.54</v>
      </c>
      <c r="E1055" s="51" t="s">
        <v>890</v>
      </c>
      <c r="F1055" s="51" t="s">
        <v>891</v>
      </c>
      <c r="G1055" s="148">
        <v>938131.86</v>
      </c>
      <c r="H1055" s="50">
        <v>42612</v>
      </c>
      <c r="I1055" s="50">
        <v>42612</v>
      </c>
      <c r="J1055" s="51">
        <v>773577.05</v>
      </c>
    </row>
    <row r="1056" spans="1:10" s="7" customFormat="1" ht="33" outlineLevel="1" x14ac:dyDescent="0.25">
      <c r="A1056" s="719"/>
      <c r="B1056" s="721"/>
      <c r="C1056" s="150" t="s">
        <v>37</v>
      </c>
      <c r="D1056" s="151">
        <v>58093.2</v>
      </c>
      <c r="E1056" s="155" t="s">
        <v>550</v>
      </c>
      <c r="F1056" s="152" t="s">
        <v>541</v>
      </c>
      <c r="G1056" s="153">
        <f>49278.91*1.18</f>
        <v>58149.113799999999</v>
      </c>
      <c r="H1056" s="154">
        <v>42460</v>
      </c>
      <c r="I1056" s="154">
        <v>42593</v>
      </c>
      <c r="J1056" s="155">
        <v>58093.200000000004</v>
      </c>
    </row>
    <row r="1057" spans="1:10" s="7" customFormat="1" ht="17.25" outlineLevel="1" thickBot="1" x14ac:dyDescent="0.3">
      <c r="A1057" s="686" t="s">
        <v>628</v>
      </c>
      <c r="B1057" s="687"/>
      <c r="C1057" s="206"/>
      <c r="D1057" s="157">
        <f>SUM(D1055:D1056)</f>
        <v>871658.74</v>
      </c>
      <c r="E1057" s="310"/>
      <c r="F1057" s="310"/>
      <c r="G1057" s="158">
        <f>SUM(G1055:G1056)</f>
        <v>996280.97380000004</v>
      </c>
      <c r="H1057" s="124"/>
      <c r="I1057" s="130"/>
      <c r="J1057" s="68">
        <f>SUM(J1055:J1056)</f>
        <v>831670.25</v>
      </c>
    </row>
    <row r="1058" spans="1:10" s="5" customFormat="1" ht="33" x14ac:dyDescent="0.25">
      <c r="A1058" s="718">
        <v>13</v>
      </c>
      <c r="B1058" s="723" t="s">
        <v>233</v>
      </c>
      <c r="C1058" s="51" t="s">
        <v>35</v>
      </c>
      <c r="D1058" s="51">
        <v>813565.54</v>
      </c>
      <c r="E1058" s="51" t="s">
        <v>890</v>
      </c>
      <c r="F1058" s="51" t="s">
        <v>891</v>
      </c>
      <c r="G1058" s="148">
        <v>938131.86</v>
      </c>
      <c r="H1058" s="50">
        <v>42612</v>
      </c>
      <c r="I1058" s="50">
        <v>42612</v>
      </c>
      <c r="J1058" s="51">
        <v>773577.05</v>
      </c>
    </row>
    <row r="1059" spans="1:10" s="7" customFormat="1" ht="33" outlineLevel="1" x14ac:dyDescent="0.25">
      <c r="A1059" s="719"/>
      <c r="B1059" s="721"/>
      <c r="C1059" s="150" t="s">
        <v>37</v>
      </c>
      <c r="D1059" s="151">
        <v>55343.199999999997</v>
      </c>
      <c r="E1059" s="155" t="s">
        <v>550</v>
      </c>
      <c r="F1059" s="311" t="s">
        <v>541</v>
      </c>
      <c r="G1059" s="153">
        <f>46946.16*1.18</f>
        <v>55396.468800000002</v>
      </c>
      <c r="H1059" s="154">
        <v>42460</v>
      </c>
      <c r="I1059" s="154">
        <v>42593</v>
      </c>
      <c r="J1059" s="155">
        <v>55343.200000000004</v>
      </c>
    </row>
    <row r="1060" spans="1:10" s="7" customFormat="1" ht="17.25" outlineLevel="1" thickBot="1" x14ac:dyDescent="0.3">
      <c r="A1060" s="724" t="s">
        <v>628</v>
      </c>
      <c r="B1060" s="725"/>
      <c r="C1060" s="208"/>
      <c r="D1060" s="157">
        <f>SUM(D1058:D1059)</f>
        <v>868908.74</v>
      </c>
      <c r="E1060" s="125"/>
      <c r="F1060" s="310"/>
      <c r="G1060" s="158">
        <f>SUM(G1058:G1059)</f>
        <v>993528.32880000002</v>
      </c>
      <c r="H1060" s="123"/>
      <c r="I1060" s="108"/>
      <c r="J1060" s="249">
        <f>SUM(J1058:J1059)</f>
        <v>828920.25</v>
      </c>
    </row>
    <row r="1061" spans="1:10" s="5" customFormat="1" ht="33" x14ac:dyDescent="0.25">
      <c r="A1061" s="718">
        <v>14</v>
      </c>
      <c r="B1061" s="723" t="s">
        <v>234</v>
      </c>
      <c r="C1061" s="51" t="s">
        <v>35</v>
      </c>
      <c r="D1061" s="51">
        <v>813565.54</v>
      </c>
      <c r="E1061" s="51" t="s">
        <v>890</v>
      </c>
      <c r="F1061" s="51" t="s">
        <v>891</v>
      </c>
      <c r="G1061" s="148">
        <v>938131.86</v>
      </c>
      <c r="H1061" s="50">
        <v>42612</v>
      </c>
      <c r="I1061" s="50">
        <v>42612</v>
      </c>
      <c r="J1061" s="51">
        <v>773577.05</v>
      </c>
    </row>
    <row r="1062" spans="1:10" s="7" customFormat="1" ht="33" outlineLevel="1" x14ac:dyDescent="0.25">
      <c r="A1062" s="719"/>
      <c r="B1062" s="721"/>
      <c r="C1062" s="150" t="s">
        <v>37</v>
      </c>
      <c r="D1062" s="151">
        <v>56141.42</v>
      </c>
      <c r="E1062" s="155" t="s">
        <v>550</v>
      </c>
      <c r="F1062" s="152" t="s">
        <v>541</v>
      </c>
      <c r="G1062" s="153">
        <f>47623.27*1.18</f>
        <v>56195.458599999991</v>
      </c>
      <c r="H1062" s="154">
        <v>42460</v>
      </c>
      <c r="I1062" s="154">
        <v>42593</v>
      </c>
      <c r="J1062" s="155">
        <v>56141.42</v>
      </c>
    </row>
    <row r="1063" spans="1:10" s="7" customFormat="1" ht="17.25" outlineLevel="1" thickBot="1" x14ac:dyDescent="0.3">
      <c r="A1063" s="686" t="s">
        <v>628</v>
      </c>
      <c r="B1063" s="687"/>
      <c r="C1063" s="206"/>
      <c r="D1063" s="157">
        <f>SUM(D1061:D1062)</f>
        <v>869706.96000000008</v>
      </c>
      <c r="E1063" s="310"/>
      <c r="F1063" s="310"/>
      <c r="G1063" s="158">
        <f>SUM(G1061:G1062)</f>
        <v>994327.3186</v>
      </c>
      <c r="H1063" s="124"/>
      <c r="I1063" s="130"/>
      <c r="J1063" s="68">
        <f>SUM(J1061:J1062)</f>
        <v>829718.47000000009</v>
      </c>
    </row>
    <row r="1064" spans="1:10" s="5" customFormat="1" ht="33" x14ac:dyDescent="0.25">
      <c r="A1064" s="718">
        <v>15</v>
      </c>
      <c r="B1064" s="723" t="s">
        <v>235</v>
      </c>
      <c r="C1064" s="51" t="s">
        <v>35</v>
      </c>
      <c r="D1064" s="51">
        <v>813565.54</v>
      </c>
      <c r="E1064" s="51" t="s">
        <v>890</v>
      </c>
      <c r="F1064" s="51" t="s">
        <v>891</v>
      </c>
      <c r="G1064" s="148">
        <v>938131.86</v>
      </c>
      <c r="H1064" s="50">
        <v>42612</v>
      </c>
      <c r="I1064" s="50">
        <v>42612</v>
      </c>
      <c r="J1064" s="51">
        <v>773577.05</v>
      </c>
    </row>
    <row r="1065" spans="1:10" s="7" customFormat="1" ht="33" outlineLevel="1" x14ac:dyDescent="0.25">
      <c r="A1065" s="719"/>
      <c r="B1065" s="721"/>
      <c r="C1065" s="150" t="s">
        <v>37</v>
      </c>
      <c r="D1065" s="151">
        <v>55153.37</v>
      </c>
      <c r="E1065" s="155" t="s">
        <v>550</v>
      </c>
      <c r="F1065" s="152" t="s">
        <v>541</v>
      </c>
      <c r="G1065" s="153">
        <f>46785.13*1.18</f>
        <v>55206.453399999991</v>
      </c>
      <c r="H1065" s="154">
        <v>42460</v>
      </c>
      <c r="I1065" s="154">
        <v>42593</v>
      </c>
      <c r="J1065" s="155">
        <v>55153.37</v>
      </c>
    </row>
    <row r="1066" spans="1:10" s="7" customFormat="1" ht="17.25" outlineLevel="1" thickBot="1" x14ac:dyDescent="0.3">
      <c r="A1066" s="686" t="s">
        <v>628</v>
      </c>
      <c r="B1066" s="687"/>
      <c r="C1066" s="206"/>
      <c r="D1066" s="157">
        <f>SUM(D1064:D1065)</f>
        <v>868718.91</v>
      </c>
      <c r="E1066" s="310"/>
      <c r="F1066" s="310"/>
      <c r="G1066" s="158">
        <f>SUM(G1064:G1065)</f>
        <v>993338.31339999998</v>
      </c>
      <c r="H1066" s="310"/>
      <c r="I1066" s="130"/>
      <c r="J1066" s="68">
        <f>SUM(J1064:J1065)</f>
        <v>828730.42</v>
      </c>
    </row>
    <row r="1067" spans="1:10" s="7" customFormat="1" ht="17.25" outlineLevel="1" thickBot="1" x14ac:dyDescent="0.3">
      <c r="A1067" s="846" t="s">
        <v>1008</v>
      </c>
      <c r="B1067" s="847"/>
      <c r="C1067" s="784"/>
      <c r="D1067" s="197">
        <v>1068188.98</v>
      </c>
      <c r="E1067" s="198"/>
      <c r="F1067" s="312"/>
      <c r="G1067" s="197">
        <f>SUM(G1068:G1075)</f>
        <v>1068188.98</v>
      </c>
      <c r="H1067" s="313"/>
      <c r="I1067" s="202"/>
      <c r="J1067" s="197">
        <f t="shared" ref="J1067" si="17">SUM(J1068:J1075)</f>
        <v>1014486.65</v>
      </c>
    </row>
    <row r="1068" spans="1:10" s="615" customFormat="1" ht="30" customHeight="1" outlineLevel="1" x14ac:dyDescent="0.25">
      <c r="A1068" s="850"/>
      <c r="B1068" s="617" t="s">
        <v>1073</v>
      </c>
      <c r="C1068" s="151" t="s">
        <v>37</v>
      </c>
      <c r="D1068" s="215"/>
      <c r="E1068" s="805" t="s">
        <v>1072</v>
      </c>
      <c r="F1068" s="807" t="s">
        <v>541</v>
      </c>
      <c r="G1068" s="215">
        <v>56429.95</v>
      </c>
      <c r="H1068" s="809">
        <v>42755</v>
      </c>
      <c r="I1068" s="809">
        <v>42837</v>
      </c>
      <c r="J1068" s="215">
        <v>56429.95</v>
      </c>
    </row>
    <row r="1069" spans="1:10" s="615" customFormat="1" ht="29.25" customHeight="1" outlineLevel="1" x14ac:dyDescent="0.25">
      <c r="A1069" s="851"/>
      <c r="B1069" s="617" t="s">
        <v>1074</v>
      </c>
      <c r="C1069" s="151" t="s">
        <v>37</v>
      </c>
      <c r="D1069" s="483"/>
      <c r="E1069" s="806"/>
      <c r="F1069" s="808"/>
      <c r="G1069" s="483">
        <v>76478.36</v>
      </c>
      <c r="H1069" s="810"/>
      <c r="I1069" s="811"/>
      <c r="J1069" s="151">
        <v>76478.37</v>
      </c>
    </row>
    <row r="1070" spans="1:10" s="615" customFormat="1" ht="29.25" customHeight="1" outlineLevel="1" x14ac:dyDescent="0.25">
      <c r="A1070" s="851"/>
      <c r="B1070" s="617" t="s">
        <v>1075</v>
      </c>
      <c r="C1070" s="151" t="s">
        <v>37</v>
      </c>
      <c r="D1070" s="151"/>
      <c r="E1070" s="806"/>
      <c r="F1070" s="808"/>
      <c r="G1070" s="151">
        <v>344849.54</v>
      </c>
      <c r="H1070" s="810"/>
      <c r="I1070" s="811"/>
      <c r="J1070" s="151">
        <v>344849.54</v>
      </c>
    </row>
    <row r="1071" spans="1:10" s="615" customFormat="1" ht="30.75" customHeight="1" outlineLevel="1" x14ac:dyDescent="0.25">
      <c r="A1071" s="851"/>
      <c r="B1071" s="617" t="s">
        <v>1076</v>
      </c>
      <c r="C1071" s="151" t="s">
        <v>37</v>
      </c>
      <c r="D1071" s="151"/>
      <c r="E1071" s="806"/>
      <c r="F1071" s="808"/>
      <c r="G1071" s="151">
        <v>128947.44</v>
      </c>
      <c r="H1071" s="810"/>
      <c r="I1071" s="811"/>
      <c r="J1071" s="151">
        <v>128947.44</v>
      </c>
    </row>
    <row r="1072" spans="1:10" s="615" customFormat="1" ht="30.75" customHeight="1" outlineLevel="1" x14ac:dyDescent="0.25">
      <c r="A1072" s="851"/>
      <c r="B1072" s="617" t="s">
        <v>1077</v>
      </c>
      <c r="C1072" s="151" t="s">
        <v>37</v>
      </c>
      <c r="D1072" s="151"/>
      <c r="E1072" s="806"/>
      <c r="F1072" s="808"/>
      <c r="G1072" s="151">
        <v>136413.43</v>
      </c>
      <c r="H1072" s="810"/>
      <c r="I1072" s="811"/>
      <c r="J1072" s="151">
        <v>136413.43</v>
      </c>
    </row>
    <row r="1073" spans="1:10" s="615" customFormat="1" ht="30" customHeight="1" outlineLevel="1" x14ac:dyDescent="0.25">
      <c r="A1073" s="851"/>
      <c r="B1073" s="617" t="s">
        <v>1078</v>
      </c>
      <c r="C1073" s="151" t="s">
        <v>37</v>
      </c>
      <c r="D1073" s="151"/>
      <c r="E1073" s="806"/>
      <c r="F1073" s="808"/>
      <c r="G1073" s="151">
        <v>53688.34</v>
      </c>
      <c r="H1073" s="810"/>
      <c r="I1073" s="811"/>
      <c r="J1073" s="151">
        <v>53688.34</v>
      </c>
    </row>
    <row r="1074" spans="1:10" s="615" customFormat="1" ht="29.25" customHeight="1" outlineLevel="1" x14ac:dyDescent="0.25">
      <c r="A1074" s="851"/>
      <c r="B1074" s="617" t="s">
        <v>1079</v>
      </c>
      <c r="C1074" s="151" t="s">
        <v>37</v>
      </c>
      <c r="D1074" s="151"/>
      <c r="E1074" s="806"/>
      <c r="F1074" s="808"/>
      <c r="G1074" s="151">
        <v>127557.99</v>
      </c>
      <c r="H1074" s="810"/>
      <c r="I1074" s="811"/>
      <c r="J1074" s="151">
        <v>73855.66</v>
      </c>
    </row>
    <row r="1075" spans="1:10" s="615" customFormat="1" ht="30.75" customHeight="1" outlineLevel="1" thickBot="1" x14ac:dyDescent="0.3">
      <c r="A1075" s="851"/>
      <c r="B1075" s="618" t="s">
        <v>1080</v>
      </c>
      <c r="C1075" s="616" t="s">
        <v>37</v>
      </c>
      <c r="D1075" s="616"/>
      <c r="E1075" s="806"/>
      <c r="F1075" s="808"/>
      <c r="G1075" s="614">
        <v>143823.93</v>
      </c>
      <c r="H1075" s="810"/>
      <c r="I1075" s="811"/>
      <c r="J1075" s="614">
        <v>143823.92000000001</v>
      </c>
    </row>
    <row r="1076" spans="1:10" s="7" customFormat="1" ht="17.25" outlineLevel="1" thickBot="1" x14ac:dyDescent="0.3">
      <c r="A1076" s="738" t="s">
        <v>629</v>
      </c>
      <c r="B1076" s="739"/>
      <c r="C1076" s="315"/>
      <c r="D1076" s="43">
        <f>SUM(D1066,D1063,D1060,D1057,D1054,D1051,D1047,D1043,D1040,D1037,D1034,D1031,D1026,D1022,D1018,D1067)</f>
        <v>39529640.839999996</v>
      </c>
      <c r="E1076" s="315"/>
      <c r="F1076" s="315"/>
      <c r="G1076" s="190">
        <f>SUM(G1067,G1066,G1063,G1060,G1057,G1054,G1051,G1047,G1043,G1040,G1037,G1034,G1031,G1026,G1022,G1018)</f>
        <v>43822665.364599995</v>
      </c>
      <c r="H1076" s="315"/>
      <c r="I1076" s="205"/>
      <c r="J1076" s="192">
        <f>SUM(J1067,J1066,J1063,J1060,J1057,J1054,J1051,J1047,J1043,J1040,J1037,J1034,J1031,J1026,J1022,J1018)</f>
        <v>37449193.380000003</v>
      </c>
    </row>
    <row r="1077" spans="1:10" s="5" customFormat="1" ht="30.75" customHeight="1" thickBot="1" x14ac:dyDescent="0.3">
      <c r="A1077" s="757" t="s">
        <v>642</v>
      </c>
      <c r="B1077" s="758"/>
      <c r="C1077" s="758"/>
      <c r="D1077" s="758"/>
      <c r="E1077" s="758"/>
      <c r="F1077" s="758"/>
      <c r="G1077" s="758"/>
      <c r="H1077" s="758"/>
      <c r="I1077" s="758"/>
      <c r="J1077" s="758"/>
    </row>
    <row r="1078" spans="1:10" s="4" customFormat="1" ht="44.25" customHeight="1" x14ac:dyDescent="0.25">
      <c r="A1078" s="175">
        <v>1</v>
      </c>
      <c r="B1078" s="176" t="s">
        <v>240</v>
      </c>
      <c r="C1078" s="70" t="s">
        <v>500</v>
      </c>
      <c r="D1078" s="51">
        <v>3668101.98</v>
      </c>
      <c r="E1078" s="70" t="s">
        <v>668</v>
      </c>
      <c r="F1078" s="70" t="s">
        <v>669</v>
      </c>
      <c r="G1078" s="148">
        <v>4658654.3</v>
      </c>
      <c r="H1078" s="50">
        <v>42504</v>
      </c>
      <c r="I1078" s="50">
        <v>42503</v>
      </c>
      <c r="J1078" s="51">
        <v>3668101.98</v>
      </c>
    </row>
    <row r="1079" spans="1:10" ht="17.25" outlineLevel="1" thickBot="1" x14ac:dyDescent="0.3">
      <c r="A1079" s="724" t="s">
        <v>628</v>
      </c>
      <c r="B1079" s="725"/>
      <c r="C1079" s="164"/>
      <c r="D1079" s="165">
        <f>SUM(D1078:D1078)</f>
        <v>3668101.98</v>
      </c>
      <c r="E1079" s="90"/>
      <c r="F1079" s="90"/>
      <c r="G1079" s="166">
        <f>SUM(G1078:G1078)</f>
        <v>4658654.3</v>
      </c>
      <c r="H1079" s="123"/>
      <c r="I1079" s="108"/>
      <c r="J1079" s="165">
        <f>SUM(J1078:J1078)</f>
        <v>3668101.98</v>
      </c>
    </row>
    <row r="1080" spans="1:10" s="4" customFormat="1" ht="45.75" customHeight="1" x14ac:dyDescent="0.25">
      <c r="A1080" s="175">
        <v>2</v>
      </c>
      <c r="B1080" s="176" t="s">
        <v>238</v>
      </c>
      <c r="C1080" s="70" t="s">
        <v>500</v>
      </c>
      <c r="D1080" s="51">
        <v>4028144.76</v>
      </c>
      <c r="E1080" s="70" t="s">
        <v>668</v>
      </c>
      <c r="F1080" s="70" t="s">
        <v>669</v>
      </c>
      <c r="G1080" s="148">
        <v>3473493.2</v>
      </c>
      <c r="H1080" s="50">
        <v>42504</v>
      </c>
      <c r="I1080" s="50">
        <v>42503</v>
      </c>
      <c r="J1080" s="51">
        <v>4028144.76</v>
      </c>
    </row>
    <row r="1081" spans="1:10" ht="17.25" outlineLevel="1" thickBot="1" x14ac:dyDescent="0.3">
      <c r="A1081" s="686" t="s">
        <v>628</v>
      </c>
      <c r="B1081" s="687"/>
      <c r="C1081" s="156"/>
      <c r="D1081" s="157">
        <f>SUM(D1080:D1080)</f>
        <v>4028144.76</v>
      </c>
      <c r="E1081" s="88"/>
      <c r="F1081" s="88"/>
      <c r="G1081" s="158">
        <f>SUM(G1080:G1080)</f>
        <v>3473493.2</v>
      </c>
      <c r="H1081" s="124"/>
      <c r="I1081" s="130"/>
      <c r="J1081" s="157">
        <f>SUM(J1080:J1080)</f>
        <v>4028144.76</v>
      </c>
    </row>
    <row r="1082" spans="1:10" s="4" customFormat="1" ht="40.5" customHeight="1" x14ac:dyDescent="0.25">
      <c r="A1082" s="175">
        <v>3</v>
      </c>
      <c r="B1082" s="176" t="s">
        <v>239</v>
      </c>
      <c r="C1082" s="70" t="s">
        <v>500</v>
      </c>
      <c r="D1082" s="51">
        <v>3416907.12</v>
      </c>
      <c r="E1082" s="70" t="s">
        <v>668</v>
      </c>
      <c r="F1082" s="70" t="s">
        <v>669</v>
      </c>
      <c r="G1082" s="148">
        <v>3867852.5</v>
      </c>
      <c r="H1082" s="50">
        <v>42504</v>
      </c>
      <c r="I1082" s="50">
        <v>42503</v>
      </c>
      <c r="J1082" s="51">
        <v>3416907.12</v>
      </c>
    </row>
    <row r="1083" spans="1:10" ht="17.25" outlineLevel="1" thickBot="1" x14ac:dyDescent="0.3">
      <c r="A1083" s="686" t="s">
        <v>628</v>
      </c>
      <c r="B1083" s="687"/>
      <c r="C1083" s="156"/>
      <c r="D1083" s="157">
        <f>SUM(D1082:D1082)</f>
        <v>3416907.12</v>
      </c>
      <c r="E1083" s="88"/>
      <c r="F1083" s="88"/>
      <c r="G1083" s="158">
        <f>SUM(G1082:G1082)</f>
        <v>3867852.5</v>
      </c>
      <c r="H1083" s="88"/>
      <c r="I1083" s="130"/>
      <c r="J1083" s="157">
        <f>SUM(J1082:J1082)</f>
        <v>3416907.12</v>
      </c>
    </row>
    <row r="1084" spans="1:10" s="4" customFormat="1" ht="33" x14ac:dyDescent="0.25">
      <c r="A1084" s="734">
        <v>4</v>
      </c>
      <c r="B1084" s="732" t="s">
        <v>517</v>
      </c>
      <c r="C1084" s="70" t="s">
        <v>500</v>
      </c>
      <c r="D1084" s="51">
        <v>5262457.78</v>
      </c>
      <c r="E1084" s="70" t="s">
        <v>983</v>
      </c>
      <c r="F1084" s="70" t="s">
        <v>684</v>
      </c>
      <c r="G1084" s="148">
        <v>5262457.78</v>
      </c>
      <c r="H1084" s="50">
        <v>42713</v>
      </c>
      <c r="I1084" s="50">
        <v>42696</v>
      </c>
      <c r="J1084" s="51">
        <v>5201805.8499999996</v>
      </c>
    </row>
    <row r="1085" spans="1:10" ht="49.5" outlineLevel="1" x14ac:dyDescent="0.25">
      <c r="A1085" s="731"/>
      <c r="B1085" s="733"/>
      <c r="C1085" s="116" t="s">
        <v>37</v>
      </c>
      <c r="D1085" s="59">
        <v>78871.520000000004</v>
      </c>
      <c r="E1085" s="60" t="s">
        <v>553</v>
      </c>
      <c r="F1085" s="60" t="s">
        <v>537</v>
      </c>
      <c r="G1085" s="61">
        <f>66840.27*1.18</f>
        <v>78871.518599999996</v>
      </c>
      <c r="H1085" s="62">
        <v>42430</v>
      </c>
      <c r="I1085" s="62">
        <v>42430</v>
      </c>
      <c r="J1085" s="63">
        <v>78871.520000000004</v>
      </c>
    </row>
    <row r="1086" spans="1:10" ht="17.25" outlineLevel="1" thickBot="1" x14ac:dyDescent="0.3">
      <c r="A1086" s="686" t="s">
        <v>628</v>
      </c>
      <c r="B1086" s="687"/>
      <c r="C1086" s="156"/>
      <c r="D1086" s="157">
        <f>SUM(D1084:D1085)</f>
        <v>5341329.3</v>
      </c>
      <c r="E1086" s="88"/>
      <c r="F1086" s="88"/>
      <c r="G1086" s="158">
        <f>SUM(G1084:G1085)</f>
        <v>5341329.2986000003</v>
      </c>
      <c r="H1086" s="124"/>
      <c r="I1086" s="130"/>
      <c r="J1086" s="157">
        <f>SUM(J1084:J1085)</f>
        <v>5280677.3699999992</v>
      </c>
    </row>
    <row r="1087" spans="1:10" s="4" customFormat="1" ht="45.75" customHeight="1" x14ac:dyDescent="0.25">
      <c r="A1087" s="175">
        <v>5</v>
      </c>
      <c r="B1087" s="176" t="s">
        <v>241</v>
      </c>
      <c r="C1087" s="70" t="s">
        <v>500</v>
      </c>
      <c r="D1087" s="51">
        <v>3810872.48</v>
      </c>
      <c r="E1087" s="70" t="s">
        <v>667</v>
      </c>
      <c r="F1087" s="105" t="s">
        <v>665</v>
      </c>
      <c r="G1087" s="148">
        <v>3969801.6524074408</v>
      </c>
      <c r="H1087" s="50">
        <v>42491</v>
      </c>
      <c r="I1087" s="50">
        <v>42482</v>
      </c>
      <c r="J1087" s="51">
        <v>3810872.4799999995</v>
      </c>
    </row>
    <row r="1088" spans="1:10" ht="17.25" outlineLevel="1" thickBot="1" x14ac:dyDescent="0.3">
      <c r="A1088" s="686" t="s">
        <v>628</v>
      </c>
      <c r="B1088" s="687"/>
      <c r="C1088" s="156"/>
      <c r="D1088" s="157">
        <f>SUM(D1087:D1087)</f>
        <v>3810872.48</v>
      </c>
      <c r="E1088" s="88"/>
      <c r="F1088" s="88"/>
      <c r="G1088" s="158">
        <f>SUM(G1087:G1087)</f>
        <v>3969801.6524074408</v>
      </c>
      <c r="H1088" s="124"/>
      <c r="I1088" s="130"/>
      <c r="J1088" s="157">
        <f>SUM(J1087:J1087)</f>
        <v>3810872.4799999995</v>
      </c>
    </row>
    <row r="1089" spans="1:10" s="4" customFormat="1" ht="33" x14ac:dyDescent="0.25">
      <c r="A1089" s="734">
        <v>6</v>
      </c>
      <c r="B1089" s="732" t="s">
        <v>518</v>
      </c>
      <c r="C1089" s="70" t="s">
        <v>500</v>
      </c>
      <c r="D1089" s="51">
        <v>5001773.59</v>
      </c>
      <c r="E1089" s="70" t="s">
        <v>982</v>
      </c>
      <c r="F1089" s="70" t="s">
        <v>684</v>
      </c>
      <c r="G1089" s="148">
        <v>5001773.59</v>
      </c>
      <c r="H1089" s="50">
        <v>42713</v>
      </c>
      <c r="I1089" s="50">
        <v>42696</v>
      </c>
      <c r="J1089" s="51">
        <v>5001122.4800000004</v>
      </c>
    </row>
    <row r="1090" spans="1:10" ht="49.5" outlineLevel="1" x14ac:dyDescent="0.25">
      <c r="A1090" s="731"/>
      <c r="B1090" s="733"/>
      <c r="C1090" s="116" t="s">
        <v>37</v>
      </c>
      <c r="D1090" s="59">
        <v>74309.5</v>
      </c>
      <c r="E1090" s="60" t="s">
        <v>553</v>
      </c>
      <c r="F1090" s="60" t="s">
        <v>537</v>
      </c>
      <c r="G1090" s="61">
        <f>62974.15*1.18</f>
        <v>74309.497000000003</v>
      </c>
      <c r="H1090" s="62">
        <v>42430</v>
      </c>
      <c r="I1090" s="62">
        <v>42430</v>
      </c>
      <c r="J1090" s="63">
        <v>74309.5</v>
      </c>
    </row>
    <row r="1091" spans="1:10" ht="17.25" outlineLevel="1" thickBot="1" x14ac:dyDescent="0.3">
      <c r="A1091" s="724" t="s">
        <v>628</v>
      </c>
      <c r="B1091" s="725"/>
      <c r="C1091" s="164"/>
      <c r="D1091" s="165">
        <f>SUM(D1089:D1090)</f>
        <v>5076083.09</v>
      </c>
      <c r="E1091" s="90"/>
      <c r="F1091" s="90"/>
      <c r="G1091" s="166">
        <f>SUM(G1089:G1090)</f>
        <v>5076083.0870000003</v>
      </c>
      <c r="H1091" s="123"/>
      <c r="I1091" s="108"/>
      <c r="J1091" s="165">
        <f>SUM(J1089:J1090)</f>
        <v>5075431.9800000004</v>
      </c>
    </row>
    <row r="1092" spans="1:10" s="4" customFormat="1" ht="33" x14ac:dyDescent="0.25">
      <c r="A1092" s="734">
        <v>7</v>
      </c>
      <c r="B1092" s="732" t="s">
        <v>519</v>
      </c>
      <c r="C1092" s="70" t="s">
        <v>500</v>
      </c>
      <c r="D1092" s="51">
        <v>4776480.22</v>
      </c>
      <c r="E1092" s="70" t="s">
        <v>982</v>
      </c>
      <c r="F1092" s="70" t="s">
        <v>684</v>
      </c>
      <c r="G1092" s="148">
        <v>4383638.12</v>
      </c>
      <c r="H1092" s="50">
        <v>42713</v>
      </c>
      <c r="I1092" s="50">
        <v>42677</v>
      </c>
      <c r="J1092" s="51">
        <v>4776480.22</v>
      </c>
    </row>
    <row r="1093" spans="1:10" ht="49.5" outlineLevel="1" x14ac:dyDescent="0.25">
      <c r="A1093" s="731"/>
      <c r="B1093" s="733"/>
      <c r="C1093" s="116" t="s">
        <v>37</v>
      </c>
      <c r="D1093" s="59">
        <v>49533.41</v>
      </c>
      <c r="E1093" s="60" t="s">
        <v>553</v>
      </c>
      <c r="F1093" s="60" t="s">
        <v>537</v>
      </c>
      <c r="G1093" s="61">
        <f>41977.47*1.18</f>
        <v>49533.414599999996</v>
      </c>
      <c r="H1093" s="62">
        <v>42430</v>
      </c>
      <c r="I1093" s="62">
        <v>42430</v>
      </c>
      <c r="J1093" s="63">
        <v>49533.41</v>
      </c>
    </row>
    <row r="1094" spans="1:10" ht="17.25" outlineLevel="1" thickBot="1" x14ac:dyDescent="0.3">
      <c r="A1094" s="686" t="s">
        <v>628</v>
      </c>
      <c r="B1094" s="687"/>
      <c r="C1094" s="156"/>
      <c r="D1094" s="157">
        <f>SUM(D1092:D1093)</f>
        <v>4826013.63</v>
      </c>
      <c r="E1094" s="88"/>
      <c r="F1094" s="88"/>
      <c r="G1094" s="158">
        <f>SUM(G1092:G1093)</f>
        <v>4433171.5345999999</v>
      </c>
      <c r="H1094" s="124"/>
      <c r="I1094" s="130"/>
      <c r="J1094" s="157">
        <f>SUM(J1092:J1093)</f>
        <v>4826013.63</v>
      </c>
    </row>
    <row r="1095" spans="1:10" s="4" customFormat="1" ht="33" x14ac:dyDescent="0.25">
      <c r="A1095" s="734">
        <v>8</v>
      </c>
      <c r="B1095" s="732" t="s">
        <v>520</v>
      </c>
      <c r="C1095" s="70" t="s">
        <v>500</v>
      </c>
      <c r="D1095" s="51">
        <v>4081303.2</v>
      </c>
      <c r="E1095" s="70" t="s">
        <v>982</v>
      </c>
      <c r="F1095" s="70" t="s">
        <v>684</v>
      </c>
      <c r="G1095" s="148">
        <v>4081303.2</v>
      </c>
      <c r="H1095" s="50">
        <v>42713</v>
      </c>
      <c r="I1095" s="50">
        <v>42696</v>
      </c>
      <c r="J1095" s="51">
        <v>4335968.0599999996</v>
      </c>
    </row>
    <row r="1096" spans="1:10" ht="49.5" outlineLevel="1" x14ac:dyDescent="0.25">
      <c r="A1096" s="731"/>
      <c r="B1096" s="733"/>
      <c r="C1096" s="116" t="s">
        <v>37</v>
      </c>
      <c r="D1096" s="59">
        <v>77557.27</v>
      </c>
      <c r="E1096" s="60" t="s">
        <v>553</v>
      </c>
      <c r="F1096" s="60" t="s">
        <v>537</v>
      </c>
      <c r="G1096" s="61">
        <f>65726.5*1.18</f>
        <v>77557.26999999999</v>
      </c>
      <c r="H1096" s="62">
        <v>42430</v>
      </c>
      <c r="I1096" s="62">
        <v>42430</v>
      </c>
      <c r="J1096" s="63">
        <v>77557.27</v>
      </c>
    </row>
    <row r="1097" spans="1:10" ht="17.25" outlineLevel="1" thickBot="1" x14ac:dyDescent="0.3">
      <c r="A1097" s="686" t="s">
        <v>628</v>
      </c>
      <c r="B1097" s="687"/>
      <c r="C1097" s="156"/>
      <c r="D1097" s="157">
        <f>SUM(D1095:D1096)</f>
        <v>4158860.47</v>
      </c>
      <c r="E1097" s="88"/>
      <c r="F1097" s="88"/>
      <c r="G1097" s="158">
        <f>SUM(G1095:G1096)</f>
        <v>4158860.47</v>
      </c>
      <c r="H1097" s="88"/>
      <c r="I1097" s="130"/>
      <c r="J1097" s="157">
        <f>SUM(J1095:J1096)</f>
        <v>4413525.3299999991</v>
      </c>
    </row>
    <row r="1098" spans="1:10" s="4" customFormat="1" ht="33" x14ac:dyDescent="0.25">
      <c r="A1098" s="734">
        <v>9</v>
      </c>
      <c r="B1098" s="732" t="s">
        <v>521</v>
      </c>
      <c r="C1098" s="70" t="s">
        <v>500</v>
      </c>
      <c r="D1098" s="51">
        <v>2569484.7799999998</v>
      </c>
      <c r="E1098" s="70" t="s">
        <v>982</v>
      </c>
      <c r="F1098" s="70" t="s">
        <v>684</v>
      </c>
      <c r="G1098" s="148">
        <v>2466546.2599999998</v>
      </c>
      <c r="H1098" s="50">
        <v>42713</v>
      </c>
      <c r="I1098" s="50">
        <v>42677</v>
      </c>
      <c r="J1098" s="51">
        <v>2569484.7799999998</v>
      </c>
    </row>
    <row r="1099" spans="1:10" ht="49.5" outlineLevel="1" x14ac:dyDescent="0.25">
      <c r="A1099" s="731"/>
      <c r="B1099" s="733"/>
      <c r="C1099" s="116" t="s">
        <v>37</v>
      </c>
      <c r="D1099" s="59">
        <v>66457.679999999993</v>
      </c>
      <c r="E1099" s="60" t="s">
        <v>553</v>
      </c>
      <c r="F1099" s="60" t="s">
        <v>537</v>
      </c>
      <c r="G1099" s="61">
        <f>56320.08*1.18</f>
        <v>66457.694399999993</v>
      </c>
      <c r="H1099" s="62">
        <v>42430</v>
      </c>
      <c r="I1099" s="62">
        <v>42430</v>
      </c>
      <c r="J1099" s="63">
        <v>66457.679999999993</v>
      </c>
    </row>
    <row r="1100" spans="1:10" ht="17.25" outlineLevel="1" thickBot="1" x14ac:dyDescent="0.3">
      <c r="A1100" s="686" t="s">
        <v>628</v>
      </c>
      <c r="B1100" s="687"/>
      <c r="C1100" s="156"/>
      <c r="D1100" s="157">
        <f>SUM(D1098:D1099)</f>
        <v>2635942.46</v>
      </c>
      <c r="E1100" s="65"/>
      <c r="F1100" s="65"/>
      <c r="G1100" s="158">
        <f>SUM(G1098:G1099)</f>
        <v>2533003.9543999997</v>
      </c>
      <c r="H1100" s="65"/>
      <c r="I1100" s="67"/>
      <c r="J1100" s="157">
        <f>SUM(J1098:J1099)</f>
        <v>2635942.46</v>
      </c>
    </row>
    <row r="1101" spans="1:10" s="4" customFormat="1" ht="33" x14ac:dyDescent="0.25">
      <c r="A1101" s="734">
        <v>10</v>
      </c>
      <c r="B1101" s="732" t="s">
        <v>259</v>
      </c>
      <c r="C1101" s="70" t="s">
        <v>500</v>
      </c>
      <c r="D1101" s="51">
        <v>3404381.42</v>
      </c>
      <c r="E1101" s="70" t="s">
        <v>1143</v>
      </c>
      <c r="F1101" s="70" t="s">
        <v>684</v>
      </c>
      <c r="G1101" s="148">
        <v>3404283.74</v>
      </c>
      <c r="H1101" s="50">
        <v>42788</v>
      </c>
      <c r="I1101" s="50">
        <v>42713</v>
      </c>
      <c r="J1101" s="51">
        <v>3669637.02</v>
      </c>
    </row>
    <row r="1102" spans="1:10" ht="49.5" outlineLevel="1" x14ac:dyDescent="0.25">
      <c r="A1102" s="731"/>
      <c r="B1102" s="733"/>
      <c r="C1102" s="116" t="s">
        <v>37</v>
      </c>
      <c r="D1102" s="59">
        <v>69661.11</v>
      </c>
      <c r="E1102" s="60" t="s">
        <v>553</v>
      </c>
      <c r="F1102" s="60" t="s">
        <v>537</v>
      </c>
      <c r="G1102" s="61">
        <f>59034.84*1.18</f>
        <v>69661.111199999999</v>
      </c>
      <c r="H1102" s="62">
        <v>42430</v>
      </c>
      <c r="I1102" s="62">
        <v>42393</v>
      </c>
      <c r="J1102" s="63">
        <v>69661.11</v>
      </c>
    </row>
    <row r="1103" spans="1:10" ht="17.25" outlineLevel="1" thickBot="1" x14ac:dyDescent="0.3">
      <c r="A1103" s="724" t="s">
        <v>628</v>
      </c>
      <c r="B1103" s="725"/>
      <c r="C1103" s="164"/>
      <c r="D1103" s="165">
        <f>SUM(D1101:D1102)</f>
        <v>3474042.53</v>
      </c>
      <c r="E1103" s="90"/>
      <c r="F1103" s="90"/>
      <c r="G1103" s="166">
        <f>SUM(G1101:G1102)</f>
        <v>3473944.8512000004</v>
      </c>
      <c r="H1103" s="123"/>
      <c r="I1103" s="108"/>
      <c r="J1103" s="165">
        <f>SUM(J1101:J1102)</f>
        <v>3739298.13</v>
      </c>
    </row>
    <row r="1104" spans="1:10" s="4" customFormat="1" ht="33" x14ac:dyDescent="0.25">
      <c r="A1104" s="734">
        <v>11</v>
      </c>
      <c r="B1104" s="732" t="s">
        <v>261</v>
      </c>
      <c r="C1104" s="70" t="s">
        <v>500</v>
      </c>
      <c r="D1104" s="51">
        <v>2307730.7200000002</v>
      </c>
      <c r="E1104" s="70" t="s">
        <v>1143</v>
      </c>
      <c r="F1104" s="70" t="s">
        <v>684</v>
      </c>
      <c r="G1104" s="148">
        <v>2307664.5</v>
      </c>
      <c r="H1104" s="50">
        <v>42788</v>
      </c>
      <c r="I1104" s="50">
        <v>42713</v>
      </c>
      <c r="J1104" s="51">
        <v>2116290.52</v>
      </c>
    </row>
    <row r="1105" spans="1:10" ht="49.5" outlineLevel="1" x14ac:dyDescent="0.25">
      <c r="A1105" s="731"/>
      <c r="B1105" s="733"/>
      <c r="C1105" s="116" t="s">
        <v>37</v>
      </c>
      <c r="D1105" s="59">
        <v>66546.179999999993</v>
      </c>
      <c r="E1105" s="60" t="s">
        <v>553</v>
      </c>
      <c r="F1105" s="60" t="s">
        <v>537</v>
      </c>
      <c r="G1105" s="61">
        <f>56395.07*1.18</f>
        <v>66546.1826</v>
      </c>
      <c r="H1105" s="62">
        <v>42430</v>
      </c>
      <c r="I1105" s="62">
        <v>42430</v>
      </c>
      <c r="J1105" s="63">
        <v>66546.179999999993</v>
      </c>
    </row>
    <row r="1106" spans="1:10" ht="17.25" outlineLevel="1" thickBot="1" x14ac:dyDescent="0.3">
      <c r="A1106" s="686" t="s">
        <v>628</v>
      </c>
      <c r="B1106" s="687"/>
      <c r="C1106" s="156"/>
      <c r="D1106" s="157">
        <f>SUM(D1104:D1105)</f>
        <v>2374276.9000000004</v>
      </c>
      <c r="E1106" s="316"/>
      <c r="F1106" s="88"/>
      <c r="G1106" s="158">
        <f>SUM(G1104:G1105)</f>
        <v>2374210.6825999999</v>
      </c>
      <c r="H1106" s="124"/>
      <c r="I1106" s="130"/>
      <c r="J1106" s="157">
        <f>SUM(J1104:J1105)</f>
        <v>2182836.7000000002</v>
      </c>
    </row>
    <row r="1107" spans="1:10" s="4" customFormat="1" ht="42.75" customHeight="1" x14ac:dyDescent="0.25">
      <c r="A1107" s="317">
        <v>12</v>
      </c>
      <c r="B1107" s="256" t="s">
        <v>242</v>
      </c>
      <c r="C1107" s="105" t="s">
        <v>500</v>
      </c>
      <c r="D1107" s="107">
        <v>8189601.4100000001</v>
      </c>
      <c r="E1107" s="105" t="s">
        <v>666</v>
      </c>
      <c r="F1107" s="105" t="s">
        <v>665</v>
      </c>
      <c r="G1107" s="226">
        <v>9887090.1058686152</v>
      </c>
      <c r="H1107" s="76">
        <v>42491</v>
      </c>
      <c r="I1107" s="76">
        <v>42505</v>
      </c>
      <c r="J1107" s="107">
        <v>8189601.4100000001</v>
      </c>
    </row>
    <row r="1108" spans="1:10" ht="17.25" outlineLevel="1" thickBot="1" x14ac:dyDescent="0.3">
      <c r="A1108" s="686" t="s">
        <v>628</v>
      </c>
      <c r="B1108" s="687"/>
      <c r="C1108" s="156"/>
      <c r="D1108" s="157">
        <f>SUM(D1107:D1107)</f>
        <v>8189601.4100000001</v>
      </c>
      <c r="E1108" s="65"/>
      <c r="F1108" s="65"/>
      <c r="G1108" s="158">
        <f>SUM(G1107:G1107)</f>
        <v>9887090.1058686152</v>
      </c>
      <c r="H1108" s="65"/>
      <c r="I1108" s="67"/>
      <c r="J1108" s="157">
        <f>SUM(J1107:J1107)</f>
        <v>8189601.4100000001</v>
      </c>
    </row>
    <row r="1109" spans="1:10" s="4" customFormat="1" ht="42.75" customHeight="1" x14ac:dyDescent="0.25">
      <c r="A1109" s="175">
        <v>13</v>
      </c>
      <c r="B1109" s="176" t="s">
        <v>243</v>
      </c>
      <c r="C1109" s="70" t="s">
        <v>500</v>
      </c>
      <c r="D1109" s="51">
        <v>2722016.64</v>
      </c>
      <c r="E1109" s="105" t="s">
        <v>666</v>
      </c>
      <c r="F1109" s="105" t="s">
        <v>665</v>
      </c>
      <c r="G1109" s="148">
        <v>3082261.9376340709</v>
      </c>
      <c r="H1109" s="50">
        <v>42491</v>
      </c>
      <c r="I1109" s="76">
        <v>42505</v>
      </c>
      <c r="J1109" s="51">
        <v>2722016.6399999997</v>
      </c>
    </row>
    <row r="1110" spans="1:10" ht="17.25" outlineLevel="1" thickBot="1" x14ac:dyDescent="0.3">
      <c r="A1110" s="724" t="s">
        <v>628</v>
      </c>
      <c r="B1110" s="725"/>
      <c r="C1110" s="164"/>
      <c r="D1110" s="165">
        <f>SUM(D1109:D1109)</f>
        <v>2722016.64</v>
      </c>
      <c r="E1110" s="90"/>
      <c r="F1110" s="90"/>
      <c r="G1110" s="166">
        <f>SUM(G1109:G1109)</f>
        <v>3082261.9376340709</v>
      </c>
      <c r="H1110" s="123"/>
      <c r="I1110" s="108"/>
      <c r="J1110" s="165">
        <f>SUM(J1109:J1109)</f>
        <v>2722016.6399999997</v>
      </c>
    </row>
    <row r="1111" spans="1:10" s="4" customFormat="1" ht="50.25" customHeight="1" x14ac:dyDescent="0.25">
      <c r="A1111" s="175">
        <v>14</v>
      </c>
      <c r="B1111" s="176" t="s">
        <v>244</v>
      </c>
      <c r="C1111" s="70" t="s">
        <v>500</v>
      </c>
      <c r="D1111" s="51">
        <v>4414156.97</v>
      </c>
      <c r="E1111" s="70" t="s">
        <v>666</v>
      </c>
      <c r="F1111" s="70" t="s">
        <v>665</v>
      </c>
      <c r="G1111" s="148">
        <v>5297647.9488000004</v>
      </c>
      <c r="H1111" s="50">
        <v>42491</v>
      </c>
      <c r="I1111" s="50">
        <v>42505</v>
      </c>
      <c r="J1111" s="51">
        <v>4414156.97</v>
      </c>
    </row>
    <row r="1112" spans="1:10" ht="17.25" outlineLevel="1" thickBot="1" x14ac:dyDescent="0.3">
      <c r="A1112" s="686" t="s">
        <v>628</v>
      </c>
      <c r="B1112" s="687"/>
      <c r="C1112" s="156"/>
      <c r="D1112" s="157">
        <f>SUM(D1111:D1111)</f>
        <v>4414156.97</v>
      </c>
      <c r="E1112" s="88"/>
      <c r="F1112" s="88"/>
      <c r="G1112" s="158">
        <f>SUM(G1111:G1111)</f>
        <v>5297647.9488000004</v>
      </c>
      <c r="H1112" s="88"/>
      <c r="I1112" s="130"/>
      <c r="J1112" s="157">
        <f>SUM(J1111:J1111)</f>
        <v>4414156.97</v>
      </c>
    </row>
    <row r="1113" spans="1:10" s="4" customFormat="1" ht="47.25" customHeight="1" x14ac:dyDescent="0.25">
      <c r="A1113" s="175">
        <v>15</v>
      </c>
      <c r="B1113" s="176" t="s">
        <v>245</v>
      </c>
      <c r="C1113" s="70" t="s">
        <v>500</v>
      </c>
      <c r="D1113" s="51">
        <v>17149220.84</v>
      </c>
      <c r="E1113" s="70" t="s">
        <v>671</v>
      </c>
      <c r="F1113" s="70" t="s">
        <v>669</v>
      </c>
      <c r="G1113" s="148">
        <v>17457644.210000001</v>
      </c>
      <c r="H1113" s="50">
        <v>42504</v>
      </c>
      <c r="I1113" s="50">
        <v>42503</v>
      </c>
      <c r="J1113" s="51">
        <v>17149220.84</v>
      </c>
    </row>
    <row r="1114" spans="1:10" ht="17.25" outlineLevel="1" thickBot="1" x14ac:dyDescent="0.3">
      <c r="A1114" s="686" t="s">
        <v>628</v>
      </c>
      <c r="B1114" s="687"/>
      <c r="C1114" s="156"/>
      <c r="D1114" s="157">
        <f>SUM(D1113:D1113)</f>
        <v>17149220.84</v>
      </c>
      <c r="E1114" s="88"/>
      <c r="F1114" s="88"/>
      <c r="G1114" s="158">
        <f>SUM(G1113:G1113)</f>
        <v>17457644.210000001</v>
      </c>
      <c r="H1114" s="124"/>
      <c r="I1114" s="130"/>
      <c r="J1114" s="157">
        <f>SUM(J1113:J1113)</f>
        <v>17149220.84</v>
      </c>
    </row>
    <row r="1115" spans="1:10" s="4" customFormat="1" ht="33" x14ac:dyDescent="0.25">
      <c r="A1115" s="734">
        <v>16</v>
      </c>
      <c r="B1115" s="732" t="s">
        <v>260</v>
      </c>
      <c r="C1115" s="70" t="s">
        <v>500</v>
      </c>
      <c r="D1115" s="51">
        <v>6136198.9000000004</v>
      </c>
      <c r="E1115" s="70" t="s">
        <v>1143</v>
      </c>
      <c r="F1115" s="70" t="s">
        <v>684</v>
      </c>
      <c r="G1115" s="148">
        <v>6136022.1699999999</v>
      </c>
      <c r="H1115" s="50">
        <v>42788</v>
      </c>
      <c r="I1115" s="50">
        <v>42713</v>
      </c>
      <c r="J1115" s="51">
        <f>5853251.55-422555.64</f>
        <v>5430695.9100000001</v>
      </c>
    </row>
    <row r="1116" spans="1:10" ht="49.5" outlineLevel="1" x14ac:dyDescent="0.25">
      <c r="A1116" s="731"/>
      <c r="B1116" s="733"/>
      <c r="C1116" s="116" t="s">
        <v>37</v>
      </c>
      <c r="D1116" s="59">
        <v>87411.46</v>
      </c>
      <c r="E1116" s="60" t="s">
        <v>553</v>
      </c>
      <c r="F1116" s="60" t="s">
        <v>537</v>
      </c>
      <c r="G1116" s="61">
        <f>74077.51*1.18</f>
        <v>87411.46179999999</v>
      </c>
      <c r="H1116" s="62">
        <v>42430</v>
      </c>
      <c r="I1116" s="62">
        <v>42393</v>
      </c>
      <c r="J1116" s="63">
        <v>87411.46</v>
      </c>
    </row>
    <row r="1117" spans="1:10" ht="17.25" outlineLevel="1" thickBot="1" x14ac:dyDescent="0.3">
      <c r="A1117" s="686" t="s">
        <v>628</v>
      </c>
      <c r="B1117" s="687"/>
      <c r="C1117" s="156"/>
      <c r="D1117" s="157">
        <f>SUM(D1115:D1116)</f>
        <v>6223610.3600000003</v>
      </c>
      <c r="E1117" s="88"/>
      <c r="F1117" s="88"/>
      <c r="G1117" s="158">
        <f>SUM(G1115:G1116)</f>
        <v>6223433.6317999996</v>
      </c>
      <c r="H1117" s="124"/>
      <c r="I1117" s="130"/>
      <c r="J1117" s="157">
        <f>SUM(J1115:J1116)</f>
        <v>5518107.3700000001</v>
      </c>
    </row>
    <row r="1118" spans="1:10" s="4" customFormat="1" ht="42" customHeight="1" x14ac:dyDescent="0.25">
      <c r="A1118" s="175">
        <v>17</v>
      </c>
      <c r="B1118" s="176" t="s">
        <v>246</v>
      </c>
      <c r="C1118" s="70" t="s">
        <v>500</v>
      </c>
      <c r="D1118" s="51">
        <v>5630437.2599999998</v>
      </c>
      <c r="E1118" s="70" t="s">
        <v>671</v>
      </c>
      <c r="F1118" s="70" t="s">
        <v>669</v>
      </c>
      <c r="G1118" s="148">
        <v>6242355.79</v>
      </c>
      <c r="H1118" s="50">
        <v>42504</v>
      </c>
      <c r="I1118" s="50">
        <v>42503</v>
      </c>
      <c r="J1118" s="51">
        <v>5630437.2599999998</v>
      </c>
    </row>
    <row r="1119" spans="1:10" ht="17.25" outlineLevel="1" thickBot="1" x14ac:dyDescent="0.3">
      <c r="A1119" s="724" t="s">
        <v>628</v>
      </c>
      <c r="B1119" s="725"/>
      <c r="C1119" s="164"/>
      <c r="D1119" s="165">
        <f>SUM(D1118:D1118)</f>
        <v>5630437.2599999998</v>
      </c>
      <c r="E1119" s="90"/>
      <c r="F1119" s="90"/>
      <c r="G1119" s="166">
        <f>SUM(G1118:G1118)</f>
        <v>6242355.79</v>
      </c>
      <c r="H1119" s="90"/>
      <c r="I1119" s="108"/>
      <c r="J1119" s="165">
        <f>SUM(J1118:J1118)</f>
        <v>5630437.2599999998</v>
      </c>
    </row>
    <row r="1120" spans="1:10" s="4" customFormat="1" ht="33" x14ac:dyDescent="0.25">
      <c r="A1120" s="734">
        <v>18</v>
      </c>
      <c r="B1120" s="732" t="s">
        <v>262</v>
      </c>
      <c r="C1120" s="70" t="s">
        <v>500</v>
      </c>
      <c r="D1120" s="51">
        <v>7535653.46</v>
      </c>
      <c r="E1120" s="70" t="s">
        <v>1143</v>
      </c>
      <c r="F1120" s="70" t="s">
        <v>684</v>
      </c>
      <c r="G1120" s="148">
        <v>7535437.2400000002</v>
      </c>
      <c r="H1120" s="50">
        <v>42788</v>
      </c>
      <c r="I1120" s="50">
        <v>42713</v>
      </c>
      <c r="J1120" s="51">
        <f>6171054.19-938570.82</f>
        <v>5232483.37</v>
      </c>
    </row>
    <row r="1121" spans="1:10" ht="49.5" outlineLevel="1" x14ac:dyDescent="0.25">
      <c r="A1121" s="731"/>
      <c r="B1121" s="733"/>
      <c r="C1121" s="116" t="s">
        <v>37</v>
      </c>
      <c r="D1121" s="59">
        <v>86889.97</v>
      </c>
      <c r="E1121" s="60" t="s">
        <v>553</v>
      </c>
      <c r="F1121" s="60" t="s">
        <v>537</v>
      </c>
      <c r="G1121" s="61">
        <f>73635.57*1.18</f>
        <v>86889.972600000008</v>
      </c>
      <c r="H1121" s="62">
        <v>42430</v>
      </c>
      <c r="I1121" s="62">
        <v>42430</v>
      </c>
      <c r="J1121" s="63">
        <v>86889.97</v>
      </c>
    </row>
    <row r="1122" spans="1:10" ht="17.25" outlineLevel="1" thickBot="1" x14ac:dyDescent="0.3">
      <c r="A1122" s="686" t="s">
        <v>628</v>
      </c>
      <c r="B1122" s="687"/>
      <c r="C1122" s="156"/>
      <c r="D1122" s="157">
        <f>SUM(D1120:D1121)</f>
        <v>7622543.4299999997</v>
      </c>
      <c r="E1122" s="65"/>
      <c r="F1122" s="65"/>
      <c r="G1122" s="158">
        <f>SUM(G1120:G1121)</f>
        <v>7622327.2126000002</v>
      </c>
      <c r="H1122" s="65"/>
      <c r="I1122" s="67"/>
      <c r="J1122" s="157">
        <f>SUM(J1120:J1121)</f>
        <v>5319373.34</v>
      </c>
    </row>
    <row r="1123" spans="1:10" s="4" customFormat="1" ht="45.75" customHeight="1" x14ac:dyDescent="0.25">
      <c r="A1123" s="175">
        <v>19</v>
      </c>
      <c r="B1123" s="176" t="s">
        <v>247</v>
      </c>
      <c r="C1123" s="70" t="s">
        <v>500</v>
      </c>
      <c r="D1123" s="51">
        <v>4473899.1500000004</v>
      </c>
      <c r="E1123" s="70" t="s">
        <v>667</v>
      </c>
      <c r="F1123" s="105" t="s">
        <v>665</v>
      </c>
      <c r="G1123" s="148">
        <v>5699198.347592528</v>
      </c>
      <c r="H1123" s="50">
        <v>42491</v>
      </c>
      <c r="I1123" s="50">
        <v>42482</v>
      </c>
      <c r="J1123" s="51">
        <v>4473899.1500000004</v>
      </c>
    </row>
    <row r="1124" spans="1:10" ht="17.25" outlineLevel="1" thickBot="1" x14ac:dyDescent="0.3">
      <c r="A1124" s="686" t="s">
        <v>628</v>
      </c>
      <c r="B1124" s="687"/>
      <c r="C1124" s="156"/>
      <c r="D1124" s="157">
        <f>SUM(D1123:D1123)</f>
        <v>4473899.1500000004</v>
      </c>
      <c r="E1124" s="65"/>
      <c r="F1124" s="65"/>
      <c r="G1124" s="158">
        <f>SUM(G1123:G1123)</f>
        <v>5699198.347592528</v>
      </c>
      <c r="H1124" s="65"/>
      <c r="I1124" s="67"/>
      <c r="J1124" s="157">
        <f>SUM(J1123:J1123)</f>
        <v>4473899.1500000004</v>
      </c>
    </row>
    <row r="1125" spans="1:10" s="4" customFormat="1" ht="33" x14ac:dyDescent="0.25">
      <c r="A1125" s="734">
        <v>20</v>
      </c>
      <c r="B1125" s="732" t="s">
        <v>254</v>
      </c>
      <c r="C1125" s="70" t="s">
        <v>500</v>
      </c>
      <c r="D1125" s="51">
        <v>2402803.3199999998</v>
      </c>
      <c r="E1125" s="70" t="s">
        <v>1143</v>
      </c>
      <c r="F1125" s="70" t="s">
        <v>684</v>
      </c>
      <c r="G1125" s="148">
        <v>2402734.38</v>
      </c>
      <c r="H1125" s="50">
        <v>42788</v>
      </c>
      <c r="I1125" s="50">
        <v>42713</v>
      </c>
      <c r="J1125" s="51">
        <v>2576099.0099999998</v>
      </c>
    </row>
    <row r="1126" spans="1:10" ht="49.5" outlineLevel="1" x14ac:dyDescent="0.25">
      <c r="A1126" s="731"/>
      <c r="B1126" s="733"/>
      <c r="C1126" s="116" t="s">
        <v>37</v>
      </c>
      <c r="D1126" s="59">
        <v>67271.28</v>
      </c>
      <c r="E1126" s="60" t="s">
        <v>553</v>
      </c>
      <c r="F1126" s="60" t="s">
        <v>537</v>
      </c>
      <c r="G1126" s="61">
        <f>57009.56*1.18</f>
        <v>67271.280799999993</v>
      </c>
      <c r="H1126" s="62">
        <v>42430</v>
      </c>
      <c r="I1126" s="62">
        <v>42393</v>
      </c>
      <c r="J1126" s="63">
        <v>67271.28</v>
      </c>
    </row>
    <row r="1127" spans="1:10" ht="17.25" outlineLevel="1" thickBot="1" x14ac:dyDescent="0.3">
      <c r="A1127" s="686" t="s">
        <v>628</v>
      </c>
      <c r="B1127" s="687"/>
      <c r="C1127" s="156"/>
      <c r="D1127" s="157">
        <f>SUM(D1125:D1126)</f>
        <v>2470074.5999999996</v>
      </c>
      <c r="E1127" s="65"/>
      <c r="F1127" s="65"/>
      <c r="G1127" s="158">
        <f>SUM(G1125:G1126)</f>
        <v>2470005.6607999997</v>
      </c>
      <c r="H1127" s="65"/>
      <c r="I1127" s="67"/>
      <c r="J1127" s="157">
        <f>SUM(J1125:J1126)</f>
        <v>2643370.2899999996</v>
      </c>
    </row>
    <row r="1128" spans="1:10" s="4" customFormat="1" ht="33" x14ac:dyDescent="0.25">
      <c r="A1128" s="734">
        <v>21</v>
      </c>
      <c r="B1128" s="732" t="s">
        <v>256</v>
      </c>
      <c r="C1128" s="70" t="s">
        <v>500</v>
      </c>
      <c r="D1128" s="51">
        <v>2471928.9</v>
      </c>
      <c r="E1128" s="70" t="s">
        <v>1143</v>
      </c>
      <c r="F1128" s="70" t="s">
        <v>684</v>
      </c>
      <c r="G1128" s="148">
        <v>2471857.9700000002</v>
      </c>
      <c r="H1128" s="50">
        <v>42788</v>
      </c>
      <c r="I1128" s="50">
        <v>42713</v>
      </c>
      <c r="J1128" s="51">
        <v>2410620.09</v>
      </c>
    </row>
    <row r="1129" spans="1:10" ht="49.5" outlineLevel="1" x14ac:dyDescent="0.25">
      <c r="A1129" s="731"/>
      <c r="B1129" s="733"/>
      <c r="C1129" s="116" t="s">
        <v>37</v>
      </c>
      <c r="D1129" s="59">
        <v>66241.41</v>
      </c>
      <c r="E1129" s="60" t="s">
        <v>553</v>
      </c>
      <c r="F1129" s="60" t="s">
        <v>537</v>
      </c>
      <c r="G1129" s="61">
        <f>56136.79*1.18</f>
        <v>66241.412199999992</v>
      </c>
      <c r="H1129" s="62">
        <v>42430</v>
      </c>
      <c r="I1129" s="62">
        <v>42393</v>
      </c>
      <c r="J1129" s="63">
        <v>66241.41</v>
      </c>
    </row>
    <row r="1130" spans="1:10" ht="17.25" outlineLevel="1" thickBot="1" x14ac:dyDescent="0.3">
      <c r="A1130" s="724" t="s">
        <v>628</v>
      </c>
      <c r="B1130" s="725"/>
      <c r="C1130" s="164"/>
      <c r="D1130" s="165">
        <f>SUM(D1128:D1129)</f>
        <v>2538170.31</v>
      </c>
      <c r="E1130" s="78"/>
      <c r="F1130" s="78"/>
      <c r="G1130" s="166">
        <f>SUM(G1128:G1129)</f>
        <v>2538099.3822000003</v>
      </c>
      <c r="H1130" s="78"/>
      <c r="I1130" s="167"/>
      <c r="J1130" s="165">
        <f>SUM(J1128:J1129)</f>
        <v>2476861.5</v>
      </c>
    </row>
    <row r="1131" spans="1:10" s="4" customFormat="1" ht="33" x14ac:dyDescent="0.25">
      <c r="A1131" s="734">
        <v>22</v>
      </c>
      <c r="B1131" s="732" t="s">
        <v>522</v>
      </c>
      <c r="C1131" s="70" t="s">
        <v>500</v>
      </c>
      <c r="D1131" s="51">
        <v>5533877.8600000003</v>
      </c>
      <c r="E1131" s="70" t="s">
        <v>1067</v>
      </c>
      <c r="F1131" s="70" t="s">
        <v>669</v>
      </c>
      <c r="G1131" s="148">
        <v>5533877.8600000003</v>
      </c>
      <c r="H1131" s="50">
        <v>42755</v>
      </c>
      <c r="I1131" s="50">
        <v>42755</v>
      </c>
      <c r="J1131" s="51">
        <v>4889599.04</v>
      </c>
    </row>
    <row r="1132" spans="1:10" ht="49.5" outlineLevel="1" x14ac:dyDescent="0.25">
      <c r="A1132" s="731"/>
      <c r="B1132" s="733"/>
      <c r="C1132" s="116" t="s">
        <v>37</v>
      </c>
      <c r="D1132" s="59">
        <v>77542.53</v>
      </c>
      <c r="E1132" s="60" t="s">
        <v>553</v>
      </c>
      <c r="F1132" s="60" t="s">
        <v>537</v>
      </c>
      <c r="G1132" s="61">
        <f>65714.01*1.18</f>
        <v>77542.531799999982</v>
      </c>
      <c r="H1132" s="62">
        <v>42430</v>
      </c>
      <c r="I1132" s="62">
        <v>42430</v>
      </c>
      <c r="J1132" s="63">
        <v>77542.53</v>
      </c>
    </row>
    <row r="1133" spans="1:10" ht="17.25" outlineLevel="1" thickBot="1" x14ac:dyDescent="0.3">
      <c r="A1133" s="686" t="s">
        <v>628</v>
      </c>
      <c r="B1133" s="687"/>
      <c r="C1133" s="156"/>
      <c r="D1133" s="157">
        <f>SUM(D1131:D1132)</f>
        <v>5611420.3900000006</v>
      </c>
      <c r="E1133" s="65"/>
      <c r="F1133" s="65"/>
      <c r="G1133" s="158">
        <f>SUM(G1131:G1132)</f>
        <v>5611420.3918000003</v>
      </c>
      <c r="H1133" s="65"/>
      <c r="I1133" s="67"/>
      <c r="J1133" s="157">
        <f>SUM(J1131:J1132)</f>
        <v>4967141.57</v>
      </c>
    </row>
    <row r="1134" spans="1:10" s="4" customFormat="1" ht="33" x14ac:dyDescent="0.25">
      <c r="A1134" s="734">
        <v>23</v>
      </c>
      <c r="B1134" s="732" t="s">
        <v>523</v>
      </c>
      <c r="C1134" s="463" t="s">
        <v>500</v>
      </c>
      <c r="D1134" s="51">
        <v>11955514.560000001</v>
      </c>
      <c r="E1134" s="463" t="s">
        <v>1067</v>
      </c>
      <c r="F1134" s="463" t="s">
        <v>669</v>
      </c>
      <c r="G1134" s="148">
        <v>11955514.560000001</v>
      </c>
      <c r="H1134" s="462">
        <v>42755</v>
      </c>
      <c r="I1134" s="462">
        <v>42783</v>
      </c>
      <c r="J1134" s="51">
        <v>11954026.58</v>
      </c>
    </row>
    <row r="1135" spans="1:10" ht="49.5" outlineLevel="1" x14ac:dyDescent="0.25">
      <c r="A1135" s="731"/>
      <c r="B1135" s="733"/>
      <c r="C1135" s="116" t="s">
        <v>37</v>
      </c>
      <c r="D1135" s="59">
        <v>100746.3</v>
      </c>
      <c r="E1135" s="60" t="s">
        <v>553</v>
      </c>
      <c r="F1135" s="60" t="s">
        <v>537</v>
      </c>
      <c r="G1135" s="61">
        <f>85378.19*1.18</f>
        <v>100746.26419999999</v>
      </c>
      <c r="H1135" s="62">
        <v>42430</v>
      </c>
      <c r="I1135" s="62">
        <v>42430</v>
      </c>
      <c r="J1135" s="63">
        <v>100746.3</v>
      </c>
    </row>
    <row r="1136" spans="1:10" ht="17.25" outlineLevel="1" thickBot="1" x14ac:dyDescent="0.3">
      <c r="A1136" s="686" t="s">
        <v>628</v>
      </c>
      <c r="B1136" s="687"/>
      <c r="C1136" s="156"/>
      <c r="D1136" s="157">
        <f>SUM(D1134:D1135)</f>
        <v>12056260.860000001</v>
      </c>
      <c r="E1136" s="88"/>
      <c r="F1136" s="88"/>
      <c r="G1136" s="158">
        <f>SUM(G1134:G1135)</f>
        <v>12056260.824200001</v>
      </c>
      <c r="H1136" s="88"/>
      <c r="I1136" s="130"/>
      <c r="J1136" s="157">
        <f>SUM(J1134:J1135)</f>
        <v>12054772.880000001</v>
      </c>
    </row>
    <row r="1137" spans="1:10" s="4" customFormat="1" ht="33" x14ac:dyDescent="0.25">
      <c r="A1137" s="734">
        <v>24</v>
      </c>
      <c r="B1137" s="732" t="s">
        <v>257</v>
      </c>
      <c r="C1137" s="70" t="s">
        <v>500</v>
      </c>
      <c r="D1137" s="51">
        <v>5770270.46</v>
      </c>
      <c r="E1137" s="70" t="s">
        <v>792</v>
      </c>
      <c r="F1137" s="70" t="s">
        <v>702</v>
      </c>
      <c r="G1137" s="148">
        <v>5809486.25</v>
      </c>
      <c r="H1137" s="50">
        <v>42561</v>
      </c>
      <c r="I1137" s="50">
        <v>42561</v>
      </c>
      <c r="J1137" s="51">
        <v>5770270.46</v>
      </c>
    </row>
    <row r="1138" spans="1:10" ht="49.5" outlineLevel="1" x14ac:dyDescent="0.25">
      <c r="A1138" s="731"/>
      <c r="B1138" s="733"/>
      <c r="C1138" s="116" t="s">
        <v>37</v>
      </c>
      <c r="D1138" s="59">
        <v>87032.66</v>
      </c>
      <c r="E1138" s="60" t="s">
        <v>553</v>
      </c>
      <c r="F1138" s="60" t="s">
        <v>537</v>
      </c>
      <c r="G1138" s="61">
        <f>73756.49*1.18</f>
        <v>87032.658200000005</v>
      </c>
      <c r="H1138" s="62">
        <v>42430</v>
      </c>
      <c r="I1138" s="62">
        <v>42393</v>
      </c>
      <c r="J1138" s="63">
        <v>87032.66</v>
      </c>
    </row>
    <row r="1139" spans="1:10" ht="17.25" outlineLevel="1" thickBot="1" x14ac:dyDescent="0.3">
      <c r="A1139" s="686" t="s">
        <v>628</v>
      </c>
      <c r="B1139" s="687"/>
      <c r="C1139" s="156"/>
      <c r="D1139" s="157">
        <f>SUM(D1137:D1138)</f>
        <v>5857303.1200000001</v>
      </c>
      <c r="E1139" s="88"/>
      <c r="F1139" s="88"/>
      <c r="G1139" s="158">
        <f>SUM(G1137:G1138)</f>
        <v>5896518.9082000004</v>
      </c>
      <c r="H1139" s="88"/>
      <c r="I1139" s="130"/>
      <c r="J1139" s="157">
        <f>SUM(J1137:J1138)</f>
        <v>5857303.1200000001</v>
      </c>
    </row>
    <row r="1140" spans="1:10" s="4" customFormat="1" ht="33" x14ac:dyDescent="0.25">
      <c r="A1140" s="734">
        <v>25</v>
      </c>
      <c r="B1140" s="732" t="s">
        <v>252</v>
      </c>
      <c r="C1140" s="70" t="s">
        <v>500</v>
      </c>
      <c r="D1140" s="51">
        <v>4304281.05</v>
      </c>
      <c r="E1140" s="70" t="s">
        <v>982</v>
      </c>
      <c r="F1140" s="70" t="s">
        <v>684</v>
      </c>
      <c r="G1140" s="148">
        <v>4304281.05</v>
      </c>
      <c r="H1140" s="50">
        <v>42713</v>
      </c>
      <c r="I1140" s="50">
        <v>42696</v>
      </c>
      <c r="J1140" s="51">
        <v>4304051.04</v>
      </c>
    </row>
    <row r="1141" spans="1:10" ht="49.5" outlineLevel="1" x14ac:dyDescent="0.25">
      <c r="A1141" s="731"/>
      <c r="B1141" s="733"/>
      <c r="C1141" s="116" t="s">
        <v>37</v>
      </c>
      <c r="D1141" s="59">
        <v>72417.02</v>
      </c>
      <c r="E1141" s="60" t="s">
        <v>553</v>
      </c>
      <c r="F1141" s="60" t="s">
        <v>537</v>
      </c>
      <c r="G1141" s="61">
        <f>61370.36*1.18</f>
        <v>72417.024799999999</v>
      </c>
      <c r="H1141" s="62">
        <v>42430</v>
      </c>
      <c r="I1141" s="62">
        <v>42393</v>
      </c>
      <c r="J1141" s="63">
        <v>72417.02</v>
      </c>
    </row>
    <row r="1142" spans="1:10" ht="17.25" outlineLevel="1" thickBot="1" x14ac:dyDescent="0.3">
      <c r="A1142" s="686" t="s">
        <v>628</v>
      </c>
      <c r="B1142" s="687"/>
      <c r="C1142" s="156"/>
      <c r="D1142" s="157">
        <f>SUM(D1140:D1141)</f>
        <v>4376698.0699999994</v>
      </c>
      <c r="E1142" s="88"/>
      <c r="F1142" s="88"/>
      <c r="G1142" s="158">
        <f>SUM(G1140:G1141)</f>
        <v>4376698.0747999996</v>
      </c>
      <c r="H1142" s="88"/>
      <c r="I1142" s="130"/>
      <c r="J1142" s="157">
        <f>SUM(J1140:J1141)</f>
        <v>4376468.0599999996</v>
      </c>
    </row>
    <row r="1143" spans="1:10" s="4" customFormat="1" ht="42.75" customHeight="1" x14ac:dyDescent="0.25">
      <c r="A1143" s="175">
        <v>26</v>
      </c>
      <c r="B1143" s="176" t="s">
        <v>248</v>
      </c>
      <c r="C1143" s="70" t="s">
        <v>500</v>
      </c>
      <c r="D1143" s="51">
        <v>3626475.12</v>
      </c>
      <c r="E1143" s="70" t="s">
        <v>670</v>
      </c>
      <c r="F1143" s="70" t="s">
        <v>669</v>
      </c>
      <c r="G1143" s="148">
        <v>4210840.05</v>
      </c>
      <c r="H1143" s="50">
        <v>42504</v>
      </c>
      <c r="I1143" s="50">
        <v>42503</v>
      </c>
      <c r="J1143" s="51">
        <v>3626475.12</v>
      </c>
    </row>
    <row r="1144" spans="1:10" ht="17.25" outlineLevel="1" thickBot="1" x14ac:dyDescent="0.3">
      <c r="A1144" s="724" t="s">
        <v>628</v>
      </c>
      <c r="B1144" s="725"/>
      <c r="C1144" s="164"/>
      <c r="D1144" s="165">
        <f>SUM(D1143:D1143)</f>
        <v>3626475.12</v>
      </c>
      <c r="E1144" s="90"/>
      <c r="F1144" s="90"/>
      <c r="G1144" s="166">
        <f>SUM(G1143:G1143)</f>
        <v>4210840.05</v>
      </c>
      <c r="H1144" s="90"/>
      <c r="I1144" s="108"/>
      <c r="J1144" s="165">
        <f>SUM(J1143:J1143)</f>
        <v>3626475.12</v>
      </c>
    </row>
    <row r="1145" spans="1:10" s="4" customFormat="1" ht="33" x14ac:dyDescent="0.25">
      <c r="A1145" s="734">
        <v>27</v>
      </c>
      <c r="B1145" s="732" t="s">
        <v>258</v>
      </c>
      <c r="C1145" s="455" t="s">
        <v>500</v>
      </c>
      <c r="D1145" s="51">
        <v>2382934.48</v>
      </c>
      <c r="E1145" s="455" t="s">
        <v>1067</v>
      </c>
      <c r="F1145" s="455" t="s">
        <v>669</v>
      </c>
      <c r="G1145" s="148">
        <v>2382934.48</v>
      </c>
      <c r="H1145" s="454">
        <v>42755</v>
      </c>
      <c r="I1145" s="454">
        <v>42755</v>
      </c>
      <c r="J1145" s="51">
        <v>1996227.24</v>
      </c>
    </row>
    <row r="1146" spans="1:10" ht="49.5" outlineLevel="1" x14ac:dyDescent="0.25">
      <c r="A1146" s="731"/>
      <c r="B1146" s="733"/>
      <c r="C1146" s="116" t="s">
        <v>37</v>
      </c>
      <c r="D1146" s="59">
        <v>67136.06</v>
      </c>
      <c r="E1146" s="60" t="s">
        <v>553</v>
      </c>
      <c r="F1146" s="60" t="s">
        <v>537</v>
      </c>
      <c r="G1146" s="61">
        <f>56894.97*1.18</f>
        <v>67136.064599999998</v>
      </c>
      <c r="H1146" s="62">
        <v>42430</v>
      </c>
      <c r="I1146" s="62">
        <v>42393</v>
      </c>
      <c r="J1146" s="63">
        <v>67136.06</v>
      </c>
    </row>
    <row r="1147" spans="1:10" ht="17.25" outlineLevel="1" thickBot="1" x14ac:dyDescent="0.3">
      <c r="A1147" s="686" t="s">
        <v>628</v>
      </c>
      <c r="B1147" s="687"/>
      <c r="C1147" s="156"/>
      <c r="D1147" s="157">
        <f>SUM(D1145:D1146)</f>
        <v>2450070.54</v>
      </c>
      <c r="E1147" s="88"/>
      <c r="F1147" s="88"/>
      <c r="G1147" s="158">
        <f>SUM(G1145:G1146)</f>
        <v>2450070.5446000001</v>
      </c>
      <c r="H1147" s="88"/>
      <c r="I1147" s="130"/>
      <c r="J1147" s="157">
        <f>SUM(J1145:J1146)</f>
        <v>2063363.3</v>
      </c>
    </row>
    <row r="1148" spans="1:10" s="4" customFormat="1" ht="33" customHeight="1" x14ac:dyDescent="0.25">
      <c r="A1148" s="734">
        <v>28</v>
      </c>
      <c r="B1148" s="732" t="s">
        <v>524</v>
      </c>
      <c r="C1148" s="70" t="s">
        <v>500</v>
      </c>
      <c r="D1148" s="51">
        <v>5947352.1500000004</v>
      </c>
      <c r="E1148" s="70" t="s">
        <v>781</v>
      </c>
      <c r="F1148" s="70" t="s">
        <v>684</v>
      </c>
      <c r="G1148" s="148">
        <v>6110584.3300000001</v>
      </c>
      <c r="H1148" s="50">
        <v>42549</v>
      </c>
      <c r="I1148" s="50">
        <v>42549</v>
      </c>
      <c r="J1148" s="51">
        <v>5947352.1500000004</v>
      </c>
    </row>
    <row r="1149" spans="1:10" ht="49.5" outlineLevel="1" x14ac:dyDescent="0.25">
      <c r="A1149" s="731"/>
      <c r="B1149" s="733"/>
      <c r="C1149" s="116" t="s">
        <v>37</v>
      </c>
      <c r="D1149" s="59">
        <v>82128.91</v>
      </c>
      <c r="E1149" s="60" t="s">
        <v>553</v>
      </c>
      <c r="F1149" s="60" t="s">
        <v>537</v>
      </c>
      <c r="G1149" s="61">
        <f>69600.77*1.18</f>
        <v>82128.908599999995</v>
      </c>
      <c r="H1149" s="62">
        <v>42430</v>
      </c>
      <c r="I1149" s="62">
        <v>42430</v>
      </c>
      <c r="J1149" s="63">
        <v>82128.91</v>
      </c>
    </row>
    <row r="1150" spans="1:10" ht="17.25" outlineLevel="1" thickBot="1" x14ac:dyDescent="0.3">
      <c r="A1150" s="686" t="s">
        <v>628</v>
      </c>
      <c r="B1150" s="687"/>
      <c r="C1150" s="156"/>
      <c r="D1150" s="157">
        <f>SUM(D1148:D1149)</f>
        <v>6029481.0600000005</v>
      </c>
      <c r="E1150" s="88"/>
      <c r="F1150" s="88"/>
      <c r="G1150" s="158">
        <f>SUM(G1148:G1149)</f>
        <v>6192713.2385999998</v>
      </c>
      <c r="H1150" s="88"/>
      <c r="I1150" s="130"/>
      <c r="J1150" s="157">
        <f>SUM(J1148:J1149)</f>
        <v>6029481.0600000005</v>
      </c>
    </row>
    <row r="1151" spans="1:10" s="4" customFormat="1" ht="42.75" customHeight="1" x14ac:dyDescent="0.25">
      <c r="A1151" s="175">
        <v>29</v>
      </c>
      <c r="B1151" s="176" t="s">
        <v>249</v>
      </c>
      <c r="C1151" s="70" t="s">
        <v>500</v>
      </c>
      <c r="D1151" s="51">
        <v>4546462.12</v>
      </c>
      <c r="E1151" s="70" t="s">
        <v>670</v>
      </c>
      <c r="F1151" s="70" t="s">
        <v>669</v>
      </c>
      <c r="G1151" s="148">
        <v>5539159.9500000002</v>
      </c>
      <c r="H1151" s="50">
        <v>42504</v>
      </c>
      <c r="I1151" s="50">
        <v>42503</v>
      </c>
      <c r="J1151" s="51">
        <v>4546462.12</v>
      </c>
    </row>
    <row r="1152" spans="1:10" ht="17.25" outlineLevel="1" thickBot="1" x14ac:dyDescent="0.3">
      <c r="A1152" s="724" t="s">
        <v>628</v>
      </c>
      <c r="B1152" s="725"/>
      <c r="C1152" s="164"/>
      <c r="D1152" s="165">
        <f>SUM(D1151:D1151)</f>
        <v>4546462.12</v>
      </c>
      <c r="E1152" s="78"/>
      <c r="F1152" s="78"/>
      <c r="G1152" s="166">
        <f>SUM(G1151:G1151)</f>
        <v>5539159.9500000002</v>
      </c>
      <c r="H1152" s="78"/>
      <c r="I1152" s="167"/>
      <c r="J1152" s="165">
        <f>SUM(J1151:J1151)</f>
        <v>4546462.12</v>
      </c>
    </row>
    <row r="1153" spans="1:10" s="4" customFormat="1" ht="33" x14ac:dyDescent="0.25">
      <c r="A1153" s="734">
        <v>30</v>
      </c>
      <c r="B1153" s="732" t="s">
        <v>250</v>
      </c>
      <c r="C1153" s="70" t="s">
        <v>500</v>
      </c>
      <c r="D1153" s="51">
        <v>2295374.13</v>
      </c>
      <c r="E1153" s="70" t="s">
        <v>781</v>
      </c>
      <c r="F1153" s="70" t="s">
        <v>684</v>
      </c>
      <c r="G1153" s="148">
        <v>2523740.88</v>
      </c>
      <c r="H1153" s="50">
        <v>42561</v>
      </c>
      <c r="I1153" s="50">
        <v>42578</v>
      </c>
      <c r="J1153" s="51">
        <v>2295374.13</v>
      </c>
    </row>
    <row r="1154" spans="1:10" ht="49.5" outlineLevel="1" x14ac:dyDescent="0.25">
      <c r="A1154" s="731"/>
      <c r="B1154" s="733"/>
      <c r="C1154" s="116" t="s">
        <v>37</v>
      </c>
      <c r="D1154" s="59">
        <v>67136.06</v>
      </c>
      <c r="E1154" s="60" t="s">
        <v>553</v>
      </c>
      <c r="F1154" s="60" t="s">
        <v>537</v>
      </c>
      <c r="G1154" s="61">
        <f>56894.97*1.18</f>
        <v>67136.064599999998</v>
      </c>
      <c r="H1154" s="62">
        <v>42430</v>
      </c>
      <c r="I1154" s="62">
        <v>42393</v>
      </c>
      <c r="J1154" s="63">
        <v>67136.06</v>
      </c>
    </row>
    <row r="1155" spans="1:10" ht="17.25" outlineLevel="1" thickBot="1" x14ac:dyDescent="0.3">
      <c r="A1155" s="686" t="s">
        <v>628</v>
      </c>
      <c r="B1155" s="687"/>
      <c r="C1155" s="156"/>
      <c r="D1155" s="157">
        <f>SUM(D1153:D1154)</f>
        <v>2362510.19</v>
      </c>
      <c r="E1155" s="88"/>
      <c r="F1155" s="88"/>
      <c r="G1155" s="158">
        <f>SUM(G1153:G1154)</f>
        <v>2590876.9446</v>
      </c>
      <c r="H1155" s="124"/>
      <c r="I1155" s="130"/>
      <c r="J1155" s="157">
        <f>SUM(J1153:J1154)</f>
        <v>2362510.19</v>
      </c>
    </row>
    <row r="1156" spans="1:10" s="4" customFormat="1" ht="33" x14ac:dyDescent="0.25">
      <c r="A1156" s="734">
        <v>31</v>
      </c>
      <c r="B1156" s="732" t="s">
        <v>251</v>
      </c>
      <c r="C1156" s="455" t="s">
        <v>500</v>
      </c>
      <c r="D1156" s="51">
        <v>2194458.98</v>
      </c>
      <c r="E1156" s="455" t="s">
        <v>1067</v>
      </c>
      <c r="F1156" s="455" t="s">
        <v>669</v>
      </c>
      <c r="G1156" s="148">
        <v>2194458.98</v>
      </c>
      <c r="H1156" s="454">
        <v>42755</v>
      </c>
      <c r="I1156" s="454">
        <v>42755</v>
      </c>
      <c r="J1156" s="51">
        <v>2004600.52</v>
      </c>
    </row>
    <row r="1157" spans="1:10" ht="49.5" outlineLevel="1" x14ac:dyDescent="0.25">
      <c r="A1157" s="731"/>
      <c r="B1157" s="733"/>
      <c r="C1157" s="116" t="s">
        <v>37</v>
      </c>
      <c r="D1157" s="59">
        <v>67136.06</v>
      </c>
      <c r="E1157" s="60" t="s">
        <v>553</v>
      </c>
      <c r="F1157" s="60" t="s">
        <v>537</v>
      </c>
      <c r="G1157" s="61">
        <f>56894.97*1.18</f>
        <v>67136.064599999998</v>
      </c>
      <c r="H1157" s="62">
        <v>42430</v>
      </c>
      <c r="I1157" s="62">
        <v>42393</v>
      </c>
      <c r="J1157" s="63">
        <v>67136.06</v>
      </c>
    </row>
    <row r="1158" spans="1:10" ht="17.25" outlineLevel="1" thickBot="1" x14ac:dyDescent="0.3">
      <c r="A1158" s="686" t="s">
        <v>628</v>
      </c>
      <c r="B1158" s="687"/>
      <c r="C1158" s="156"/>
      <c r="D1158" s="157">
        <f>SUM(D1156:D1157)</f>
        <v>2261595.04</v>
      </c>
      <c r="E1158" s="88"/>
      <c r="F1158" s="88"/>
      <c r="G1158" s="158">
        <f>SUM(G1156:G1157)</f>
        <v>2261595.0446000001</v>
      </c>
      <c r="H1158" s="124"/>
      <c r="I1158" s="130"/>
      <c r="J1158" s="157">
        <f>SUM(J1156:J1157)</f>
        <v>2071736.58</v>
      </c>
    </row>
    <row r="1159" spans="1:10" s="4" customFormat="1" ht="33" x14ac:dyDescent="0.25">
      <c r="A1159" s="734">
        <v>32</v>
      </c>
      <c r="B1159" s="732" t="s">
        <v>525</v>
      </c>
      <c r="C1159" s="70" t="s">
        <v>500</v>
      </c>
      <c r="D1159" s="51">
        <v>3641208.59</v>
      </c>
      <c r="E1159" s="70" t="s">
        <v>781</v>
      </c>
      <c r="F1159" s="70" t="s">
        <v>684</v>
      </c>
      <c r="G1159" s="148">
        <v>3835680.79</v>
      </c>
      <c r="H1159" s="50">
        <v>42576</v>
      </c>
      <c r="I1159" s="50">
        <v>42578</v>
      </c>
      <c r="J1159" s="51">
        <v>3641208.59</v>
      </c>
    </row>
    <row r="1160" spans="1:10" ht="49.5" outlineLevel="1" x14ac:dyDescent="0.25">
      <c r="A1160" s="731"/>
      <c r="B1160" s="733"/>
      <c r="C1160" s="116" t="s">
        <v>37</v>
      </c>
      <c r="D1160" s="59">
        <v>75106.61</v>
      </c>
      <c r="E1160" s="60" t="s">
        <v>553</v>
      </c>
      <c r="F1160" s="60" t="s">
        <v>537</v>
      </c>
      <c r="G1160" s="61">
        <f>63649.67*1.18</f>
        <v>75106.6106</v>
      </c>
      <c r="H1160" s="62">
        <v>42430</v>
      </c>
      <c r="I1160" s="62">
        <v>42430</v>
      </c>
      <c r="J1160" s="63">
        <v>75106.61</v>
      </c>
    </row>
    <row r="1161" spans="1:10" ht="17.25" outlineLevel="1" thickBot="1" x14ac:dyDescent="0.3">
      <c r="A1161" s="686" t="s">
        <v>628</v>
      </c>
      <c r="B1161" s="687"/>
      <c r="C1161" s="156"/>
      <c r="D1161" s="157">
        <f>SUM(D1159:D1160)</f>
        <v>3716315.1999999997</v>
      </c>
      <c r="E1161" s="88"/>
      <c r="F1161" s="88"/>
      <c r="G1161" s="158">
        <f>SUM(G1159:G1160)</f>
        <v>3910787.4005999998</v>
      </c>
      <c r="H1161" s="88"/>
      <c r="I1161" s="130"/>
      <c r="J1161" s="157">
        <f>SUM(J1159:J1160)</f>
        <v>3716315.1999999997</v>
      </c>
    </row>
    <row r="1162" spans="1:10" s="4" customFormat="1" ht="33" x14ac:dyDescent="0.25">
      <c r="A1162" s="734">
        <v>33</v>
      </c>
      <c r="B1162" s="732" t="s">
        <v>253</v>
      </c>
      <c r="C1162" s="70" t="s">
        <v>500</v>
      </c>
      <c r="D1162" s="51">
        <v>5827865.7999999998</v>
      </c>
      <c r="E1162" s="70" t="s">
        <v>792</v>
      </c>
      <c r="F1162" s="70" t="s">
        <v>702</v>
      </c>
      <c r="G1162" s="148">
        <v>5926153.25</v>
      </c>
      <c r="H1162" s="50">
        <v>42566</v>
      </c>
      <c r="I1162" s="50">
        <v>42566</v>
      </c>
      <c r="J1162" s="51">
        <v>5827865.7999999998</v>
      </c>
    </row>
    <row r="1163" spans="1:10" ht="49.5" outlineLevel="1" x14ac:dyDescent="0.25">
      <c r="A1163" s="731"/>
      <c r="B1163" s="733"/>
      <c r="C1163" s="116" t="s">
        <v>37</v>
      </c>
      <c r="D1163" s="59">
        <v>69719.78</v>
      </c>
      <c r="E1163" s="60" t="s">
        <v>553</v>
      </c>
      <c r="F1163" s="60" t="s">
        <v>537</v>
      </c>
      <c r="G1163" s="61">
        <f>59084.56*1.18</f>
        <v>69719.780799999993</v>
      </c>
      <c r="H1163" s="62">
        <v>42430</v>
      </c>
      <c r="I1163" s="62">
        <v>42393</v>
      </c>
      <c r="J1163" s="63">
        <v>69719.78</v>
      </c>
    </row>
    <row r="1164" spans="1:10" ht="17.25" outlineLevel="1" thickBot="1" x14ac:dyDescent="0.3">
      <c r="A1164" s="686" t="s">
        <v>628</v>
      </c>
      <c r="B1164" s="687"/>
      <c r="C1164" s="156"/>
      <c r="D1164" s="157">
        <f>SUM(D1162:D1163)</f>
        <v>5897585.5800000001</v>
      </c>
      <c r="E1164" s="88"/>
      <c r="F1164" s="88"/>
      <c r="G1164" s="158">
        <f>SUM(G1162:G1163)</f>
        <v>5995873.0307999998</v>
      </c>
      <c r="H1164" s="124"/>
      <c r="I1164" s="130"/>
      <c r="J1164" s="157">
        <f>SUM(J1162:J1163)</f>
        <v>5897585.5800000001</v>
      </c>
    </row>
    <row r="1165" spans="1:10" s="4" customFormat="1" ht="33" x14ac:dyDescent="0.25">
      <c r="A1165" s="734">
        <v>34</v>
      </c>
      <c r="B1165" s="732" t="s">
        <v>255</v>
      </c>
      <c r="C1165" s="70" t="s">
        <v>500</v>
      </c>
      <c r="D1165" s="51">
        <v>2663451.5299999998</v>
      </c>
      <c r="E1165" s="70" t="s">
        <v>792</v>
      </c>
      <c r="F1165" s="70" t="s">
        <v>702</v>
      </c>
      <c r="G1165" s="148">
        <v>2584360.5</v>
      </c>
      <c r="H1165" s="50">
        <v>42551</v>
      </c>
      <c r="I1165" s="50">
        <v>42551</v>
      </c>
      <c r="J1165" s="51">
        <v>2663451.5300000003</v>
      </c>
    </row>
    <row r="1166" spans="1:10" ht="49.5" outlineLevel="1" x14ac:dyDescent="0.25">
      <c r="A1166" s="731"/>
      <c r="B1166" s="733"/>
      <c r="C1166" s="116" t="s">
        <v>37</v>
      </c>
      <c r="D1166" s="59">
        <v>65632.89</v>
      </c>
      <c r="E1166" s="60" t="s">
        <v>553</v>
      </c>
      <c r="F1166" s="60" t="s">
        <v>537</v>
      </c>
      <c r="G1166" s="61">
        <f>55621.09*1.18</f>
        <v>65632.886199999994</v>
      </c>
      <c r="H1166" s="62">
        <v>42430</v>
      </c>
      <c r="I1166" s="62">
        <v>42393</v>
      </c>
      <c r="J1166" s="63">
        <v>65632.89</v>
      </c>
    </row>
    <row r="1167" spans="1:10" ht="17.25" outlineLevel="1" thickBot="1" x14ac:dyDescent="0.3">
      <c r="A1167" s="686" t="s">
        <v>628</v>
      </c>
      <c r="B1167" s="687"/>
      <c r="C1167" s="156"/>
      <c r="D1167" s="157">
        <f>SUM(D1165:D1166)</f>
        <v>2729084.42</v>
      </c>
      <c r="E1167" s="88"/>
      <c r="F1167" s="88"/>
      <c r="G1167" s="158">
        <f>SUM(G1165:G1166)</f>
        <v>2649993.3862000001</v>
      </c>
      <c r="H1167" s="124"/>
      <c r="I1167" s="130"/>
      <c r="J1167" s="157">
        <f>SUM(J1165:J1166)</f>
        <v>2729084.4200000004</v>
      </c>
    </row>
    <row r="1168" spans="1:10" s="7" customFormat="1" ht="19.5" customHeight="1" outlineLevel="1" thickBot="1" x14ac:dyDescent="0.3">
      <c r="A1168" s="196"/>
      <c r="B1168" s="783" t="s">
        <v>1008</v>
      </c>
      <c r="C1168" s="784"/>
      <c r="D1168" s="197">
        <v>1500000</v>
      </c>
      <c r="E1168" s="198"/>
      <c r="F1168" s="199"/>
      <c r="G1168" s="200"/>
      <c r="H1168" s="201"/>
      <c r="I1168" s="202"/>
      <c r="J1168" s="197"/>
    </row>
    <row r="1169" spans="1:10" ht="17.25" outlineLevel="1" thickBot="1" x14ac:dyDescent="0.3">
      <c r="A1169" s="796" t="s">
        <v>629</v>
      </c>
      <c r="B1169" s="797"/>
      <c r="C1169" s="286"/>
      <c r="D1169" s="287">
        <f>D1167+D1164+D1161+D1158+D1155+D1152+D1150+D1147+D1144+D1142+D1139+D1136+D1133+D1130+D1127+D1124+D1122+D1119+D1117+D1114+D1112+D1110+D1108+D1106+D1103+D1100+D1097+D1094+D1091+D1088+D1086+D1083+D1081+D1079+D1168</f>
        <v>167265567.39999998</v>
      </c>
      <c r="E1169" s="286"/>
      <c r="F1169" s="286"/>
      <c r="G1169" s="288">
        <f>G1167+G1164+G1161+G1158+G1155+G1152+G1150+G1147+G1144+G1142+G1139+G1136+G1133+G1130+G1127+G1124+G1122+G1119+G1117+G1114+G1112+G1110+G1108+G1106+G1103+G1100+G1097+G1094+G1091+G1088+G1086+G1083+G1081+G1079</f>
        <v>173623277.54710266</v>
      </c>
      <c r="H1169" s="318"/>
      <c r="I1169" s="289"/>
      <c r="J1169" s="287">
        <f>J1167+J1164+J1161+J1158+J1155+J1152+J1150+J1147+J1144+J1142+J1139+J1136+J1133+J1130+J1127+J1124+J1122+J1119+J1117+J1114+J1112+J1110+J1108+J1106+J1103+J1100+J1097+J1094+J1091+J1088+J1086+J1083+J1081+J1079</f>
        <v>161913495.90999997</v>
      </c>
    </row>
    <row r="1170" spans="1:10" s="4" customFormat="1" ht="27.75" customHeight="1" thickBot="1" x14ac:dyDescent="0.3">
      <c r="A1170" s="772" t="s">
        <v>643</v>
      </c>
      <c r="B1170" s="773"/>
      <c r="C1170" s="773"/>
      <c r="D1170" s="773"/>
      <c r="E1170" s="773"/>
      <c r="F1170" s="773"/>
      <c r="G1170" s="773"/>
      <c r="H1170" s="773"/>
      <c r="I1170" s="773"/>
      <c r="J1170" s="773"/>
    </row>
    <row r="1171" spans="1:10" s="7" customFormat="1" ht="40.5" customHeight="1" x14ac:dyDescent="0.25">
      <c r="A1171" s="776">
        <v>1</v>
      </c>
      <c r="B1171" s="799" t="s">
        <v>16</v>
      </c>
      <c r="C1171" s="467" t="s">
        <v>505</v>
      </c>
      <c r="D1171" s="467">
        <v>3059822.6</v>
      </c>
      <c r="E1171" s="470" t="s">
        <v>1147</v>
      </c>
      <c r="F1171" s="51" t="s">
        <v>1146</v>
      </c>
      <c r="G1171" s="226">
        <v>3059822.6</v>
      </c>
      <c r="H1171" s="466">
        <v>42760</v>
      </c>
      <c r="I1171" s="466">
        <v>42779</v>
      </c>
      <c r="J1171" s="467">
        <v>2511451.9300000002</v>
      </c>
    </row>
    <row r="1172" spans="1:10" s="7" customFormat="1" ht="30" customHeight="1" outlineLevel="1" x14ac:dyDescent="0.25">
      <c r="A1172" s="768"/>
      <c r="B1172" s="764"/>
      <c r="C1172" s="150" t="s">
        <v>37</v>
      </c>
      <c r="D1172" s="151">
        <v>62339.32</v>
      </c>
      <c r="E1172" s="320" t="s">
        <v>1334</v>
      </c>
      <c r="F1172" s="155" t="s">
        <v>1333</v>
      </c>
      <c r="G1172" s="153">
        <v>52829.93</v>
      </c>
      <c r="H1172" s="154">
        <v>42489</v>
      </c>
      <c r="I1172" s="154">
        <v>42489</v>
      </c>
      <c r="J1172" s="155">
        <v>62339.32</v>
      </c>
    </row>
    <row r="1173" spans="1:10" s="7" customFormat="1" ht="17.25" outlineLevel="1" thickBot="1" x14ac:dyDescent="0.3">
      <c r="A1173" s="686" t="s">
        <v>628</v>
      </c>
      <c r="B1173" s="687"/>
      <c r="C1173" s="321"/>
      <c r="D1173" s="222">
        <f>SUM(D1171:D1172)</f>
        <v>3122161.92</v>
      </c>
      <c r="E1173" s="322"/>
      <c r="F1173" s="310"/>
      <c r="G1173" s="323">
        <f>SUM(G1171:G1172)</f>
        <v>3112652.5300000003</v>
      </c>
      <c r="H1173" s="124"/>
      <c r="I1173" s="130"/>
      <c r="J1173" s="222">
        <f>SUM(J1171:J1172)</f>
        <v>2573791.25</v>
      </c>
    </row>
    <row r="1174" spans="1:10" s="7" customFormat="1" ht="16.5" x14ac:dyDescent="0.25">
      <c r="A1174" s="767">
        <v>2</v>
      </c>
      <c r="B1174" s="769" t="s">
        <v>17</v>
      </c>
      <c r="C1174" s="324" t="s">
        <v>501</v>
      </c>
      <c r="D1174" s="325">
        <v>2700000</v>
      </c>
      <c r="E1174" s="326"/>
      <c r="F1174" s="85"/>
      <c r="G1174" s="327"/>
      <c r="H1174" s="83">
        <v>42916</v>
      </c>
      <c r="I1174" s="84"/>
      <c r="J1174" s="85"/>
    </row>
    <row r="1175" spans="1:10" s="7" customFormat="1" ht="15.75" customHeight="1" outlineLevel="1" x14ac:dyDescent="0.25">
      <c r="A1175" s="768"/>
      <c r="B1175" s="764"/>
      <c r="C1175" s="150" t="s">
        <v>37</v>
      </c>
      <c r="D1175" s="151">
        <v>160000</v>
      </c>
      <c r="E1175" s="320"/>
      <c r="F1175" s="155"/>
      <c r="G1175" s="153"/>
      <c r="H1175" s="154"/>
      <c r="I1175" s="174"/>
      <c r="J1175" s="155"/>
    </row>
    <row r="1176" spans="1:10" s="7" customFormat="1" ht="17.25" outlineLevel="1" thickBot="1" x14ac:dyDescent="0.3">
      <c r="A1176" s="686" t="s">
        <v>628</v>
      </c>
      <c r="B1176" s="687"/>
      <c r="C1176" s="321"/>
      <c r="D1176" s="222">
        <f>SUM(D1174:D1175)</f>
        <v>2860000</v>
      </c>
      <c r="E1176" s="322"/>
      <c r="F1176" s="310"/>
      <c r="G1176" s="323">
        <f>SUM(G1174:G1175)</f>
        <v>0</v>
      </c>
      <c r="H1176" s="124"/>
      <c r="I1176" s="130"/>
      <c r="J1176" s="222">
        <f>SUM(J1174:J1175)</f>
        <v>0</v>
      </c>
    </row>
    <row r="1177" spans="1:10" s="7" customFormat="1" ht="33" x14ac:dyDescent="0.25">
      <c r="A1177" s="767">
        <v>3</v>
      </c>
      <c r="B1177" s="769" t="s">
        <v>269</v>
      </c>
      <c r="C1177" s="109" t="s">
        <v>500</v>
      </c>
      <c r="D1177" s="48">
        <v>3492348.05</v>
      </c>
      <c r="E1177" s="328" t="s">
        <v>811</v>
      </c>
      <c r="F1177" s="51" t="s">
        <v>692</v>
      </c>
      <c r="G1177" s="49">
        <v>3435184.14</v>
      </c>
      <c r="H1177" s="50">
        <v>42576</v>
      </c>
      <c r="I1177" s="50">
        <v>42556</v>
      </c>
      <c r="J1177" s="51">
        <v>3492348.0500000003</v>
      </c>
    </row>
    <row r="1178" spans="1:10" s="7" customFormat="1" ht="49.5" outlineLevel="1" x14ac:dyDescent="0.25">
      <c r="A1178" s="768"/>
      <c r="B1178" s="764"/>
      <c r="C1178" s="116" t="s">
        <v>37</v>
      </c>
      <c r="D1178" s="59">
        <v>64390.76</v>
      </c>
      <c r="E1178" s="329" t="s">
        <v>565</v>
      </c>
      <c r="F1178" s="63" t="s">
        <v>564</v>
      </c>
      <c r="G1178" s="61">
        <v>64390.76</v>
      </c>
      <c r="H1178" s="62">
        <v>42419</v>
      </c>
      <c r="I1178" s="62">
        <v>42419</v>
      </c>
      <c r="J1178" s="63">
        <v>64390.76</v>
      </c>
    </row>
    <row r="1179" spans="1:10" s="7" customFormat="1" ht="17.25" outlineLevel="1" thickBot="1" x14ac:dyDescent="0.3">
      <c r="A1179" s="686" t="s">
        <v>628</v>
      </c>
      <c r="B1179" s="687"/>
      <c r="C1179" s="321"/>
      <c r="D1179" s="222">
        <f>SUM(D1177:D1178)</f>
        <v>3556738.8099999996</v>
      </c>
      <c r="E1179" s="322"/>
      <c r="F1179" s="310"/>
      <c r="G1179" s="323">
        <f>SUM(G1177:G1178)</f>
        <v>3499574.9</v>
      </c>
      <c r="H1179" s="124"/>
      <c r="I1179" s="130"/>
      <c r="J1179" s="222">
        <f>SUM(J1177:J1178)</f>
        <v>3556738.81</v>
      </c>
    </row>
    <row r="1180" spans="1:10" s="7" customFormat="1" ht="33" outlineLevel="1" x14ac:dyDescent="0.25">
      <c r="A1180" s="768">
        <v>4</v>
      </c>
      <c r="B1180" s="770" t="s">
        <v>270</v>
      </c>
      <c r="C1180" s="110" t="s">
        <v>501</v>
      </c>
      <c r="D1180" s="73">
        <v>4107398.5</v>
      </c>
      <c r="E1180" s="464" t="s">
        <v>1011</v>
      </c>
      <c r="F1180" s="465" t="s">
        <v>967</v>
      </c>
      <c r="G1180" s="74">
        <v>4107398.5</v>
      </c>
      <c r="H1180" s="468">
        <v>42809</v>
      </c>
      <c r="I1180" s="347" t="s">
        <v>1356</v>
      </c>
      <c r="J1180" s="465">
        <v>3901038.05</v>
      </c>
    </row>
    <row r="1181" spans="1:10" s="7" customFormat="1" ht="51.75" customHeight="1" outlineLevel="1" x14ac:dyDescent="0.25">
      <c r="A1181" s="768"/>
      <c r="B1181" s="799"/>
      <c r="C1181" s="116" t="s">
        <v>37</v>
      </c>
      <c r="D1181" s="59">
        <v>67800.11</v>
      </c>
      <c r="E1181" s="329" t="s">
        <v>565</v>
      </c>
      <c r="F1181" s="63" t="s">
        <v>564</v>
      </c>
      <c r="G1181" s="61">
        <v>67800.11</v>
      </c>
      <c r="H1181" s="62">
        <v>42419</v>
      </c>
      <c r="I1181" s="62">
        <v>42419</v>
      </c>
      <c r="J1181" s="63">
        <v>67800.11</v>
      </c>
    </row>
    <row r="1182" spans="1:10" s="7" customFormat="1" ht="17.25" outlineLevel="1" thickBot="1" x14ac:dyDescent="0.3">
      <c r="A1182" s="724" t="s">
        <v>628</v>
      </c>
      <c r="B1182" s="725"/>
      <c r="C1182" s="284"/>
      <c r="D1182" s="269">
        <f>SUM(D1180:D1181)</f>
        <v>4175198.61</v>
      </c>
      <c r="E1182" s="332"/>
      <c r="F1182" s="125"/>
      <c r="G1182" s="333">
        <f>SUM(G1180:G1181)</f>
        <v>4175198.61</v>
      </c>
      <c r="H1182" s="123"/>
      <c r="I1182" s="108"/>
      <c r="J1182" s="269">
        <f>SUM(J1180:J1181)</f>
        <v>3968838.1599999997</v>
      </c>
    </row>
    <row r="1183" spans="1:10" s="7" customFormat="1" ht="41.25" customHeight="1" x14ac:dyDescent="0.25">
      <c r="A1183" s="765">
        <v>5</v>
      </c>
      <c r="B1183" s="770" t="s">
        <v>271</v>
      </c>
      <c r="C1183" s="109" t="s">
        <v>501</v>
      </c>
      <c r="D1183" s="48">
        <v>17105000</v>
      </c>
      <c r="E1183" s="335" t="s">
        <v>948</v>
      </c>
      <c r="F1183" s="51" t="s">
        <v>897</v>
      </c>
      <c r="G1183" s="49">
        <v>15902758.52</v>
      </c>
      <c r="H1183" s="497">
        <v>42724</v>
      </c>
      <c r="I1183" s="497">
        <v>42809</v>
      </c>
      <c r="J1183" s="51">
        <v>15099604.279999999</v>
      </c>
    </row>
    <row r="1184" spans="1:10" s="7" customFormat="1" ht="49.5" outlineLevel="1" x14ac:dyDescent="0.25">
      <c r="A1184" s="766"/>
      <c r="B1184" s="771"/>
      <c r="C1184" s="116" t="s">
        <v>37</v>
      </c>
      <c r="D1184" s="59">
        <v>104753.15</v>
      </c>
      <c r="E1184" s="329" t="s">
        <v>565</v>
      </c>
      <c r="F1184" s="63" t="s">
        <v>564</v>
      </c>
      <c r="G1184" s="61">
        <v>104753.15</v>
      </c>
      <c r="H1184" s="62">
        <v>42419</v>
      </c>
      <c r="I1184" s="62">
        <v>42419</v>
      </c>
      <c r="J1184" s="63">
        <v>104753.15</v>
      </c>
    </row>
    <row r="1185" spans="1:10" s="9" customFormat="1" ht="16.5" outlineLevel="1" x14ac:dyDescent="0.25">
      <c r="A1185" s="776"/>
      <c r="B1185" s="799"/>
      <c r="C1185" s="112" t="s">
        <v>1007</v>
      </c>
      <c r="D1185" s="89">
        <v>117341.152398822</v>
      </c>
      <c r="E1185" s="332"/>
      <c r="F1185" s="125"/>
      <c r="G1185" s="334"/>
      <c r="H1185" s="123"/>
      <c r="I1185" s="123"/>
      <c r="J1185" s="125"/>
    </row>
    <row r="1186" spans="1:10" s="7" customFormat="1" ht="17.25" outlineLevel="1" thickBot="1" x14ac:dyDescent="0.3">
      <c r="A1186" s="686" t="s">
        <v>628</v>
      </c>
      <c r="B1186" s="687"/>
      <c r="C1186" s="321"/>
      <c r="D1186" s="222">
        <f>SUM(D1183:D1185)</f>
        <v>17327094.302398819</v>
      </c>
      <c r="E1186" s="322"/>
      <c r="F1186" s="310"/>
      <c r="G1186" s="323">
        <f>SUM(G1183:G1184)</f>
        <v>16007511.67</v>
      </c>
      <c r="H1186" s="124"/>
      <c r="I1186" s="130"/>
      <c r="J1186" s="222">
        <f>SUM(J1183:J1184)</f>
        <v>15204357.43</v>
      </c>
    </row>
    <row r="1187" spans="1:10" s="7" customFormat="1" ht="33" x14ac:dyDescent="0.25">
      <c r="A1187" s="767">
        <v>6</v>
      </c>
      <c r="B1187" s="769" t="s">
        <v>268</v>
      </c>
      <c r="C1187" s="109" t="s">
        <v>501</v>
      </c>
      <c r="D1187" s="48">
        <v>14930001.369999999</v>
      </c>
      <c r="E1187" s="335" t="s">
        <v>1011</v>
      </c>
      <c r="F1187" s="51" t="s">
        <v>967</v>
      </c>
      <c r="G1187" s="49">
        <v>14930001.369999999</v>
      </c>
      <c r="H1187" s="469">
        <v>42809</v>
      </c>
      <c r="I1187" s="469">
        <v>42779</v>
      </c>
      <c r="J1187" s="51">
        <v>15226644.43</v>
      </c>
    </row>
    <row r="1188" spans="1:10" s="7" customFormat="1" ht="49.5" outlineLevel="1" x14ac:dyDescent="0.25">
      <c r="A1188" s="768"/>
      <c r="B1188" s="764"/>
      <c r="C1188" s="116" t="s">
        <v>37</v>
      </c>
      <c r="D1188" s="59">
        <v>104416.71</v>
      </c>
      <c r="E1188" s="329" t="s">
        <v>565</v>
      </c>
      <c r="F1188" s="63" t="s">
        <v>564</v>
      </c>
      <c r="G1188" s="61">
        <v>104416.71</v>
      </c>
      <c r="H1188" s="62">
        <v>42419</v>
      </c>
      <c r="I1188" s="62">
        <v>42419</v>
      </c>
      <c r="J1188" s="63">
        <v>104416.71</v>
      </c>
    </row>
    <row r="1189" spans="1:10" s="7" customFormat="1" ht="17.25" outlineLevel="1" thickBot="1" x14ac:dyDescent="0.3">
      <c r="A1189" s="686" t="s">
        <v>628</v>
      </c>
      <c r="B1189" s="687"/>
      <c r="C1189" s="321"/>
      <c r="D1189" s="222">
        <f>SUM(D1187:D1188)</f>
        <v>15034418.08</v>
      </c>
      <c r="E1189" s="322"/>
      <c r="F1189" s="310"/>
      <c r="G1189" s="323">
        <f>SUM(G1187:G1188)</f>
        <v>15034418.08</v>
      </c>
      <c r="H1189" s="124"/>
      <c r="I1189" s="130"/>
      <c r="J1189" s="222">
        <f>SUM(J1187:J1188)</f>
        <v>15331061.140000001</v>
      </c>
    </row>
    <row r="1190" spans="1:10" s="7" customFormat="1" ht="38.25" customHeight="1" x14ac:dyDescent="0.25">
      <c r="A1190" s="765">
        <v>7</v>
      </c>
      <c r="B1190" s="770" t="s">
        <v>273</v>
      </c>
      <c r="C1190" s="109" t="s">
        <v>501</v>
      </c>
      <c r="D1190" s="48">
        <v>28730000</v>
      </c>
      <c r="E1190" s="335" t="s">
        <v>945</v>
      </c>
      <c r="F1190" s="51" t="s">
        <v>702</v>
      </c>
      <c r="G1190" s="49">
        <v>27730174.379999999</v>
      </c>
      <c r="H1190" s="497">
        <v>42704</v>
      </c>
      <c r="I1190" s="497">
        <v>42809</v>
      </c>
      <c r="J1190" s="51">
        <v>24817840.890000001</v>
      </c>
    </row>
    <row r="1191" spans="1:10" s="7" customFormat="1" ht="49.5" outlineLevel="1" x14ac:dyDescent="0.25">
      <c r="A1191" s="766"/>
      <c r="B1191" s="771"/>
      <c r="C1191" s="116" t="s">
        <v>37</v>
      </c>
      <c r="D1191" s="59">
        <v>105654.75</v>
      </c>
      <c r="E1191" s="329" t="s">
        <v>565</v>
      </c>
      <c r="F1191" s="63" t="s">
        <v>564</v>
      </c>
      <c r="G1191" s="61">
        <v>105654.75</v>
      </c>
      <c r="H1191" s="62">
        <v>42419</v>
      </c>
      <c r="I1191" s="62">
        <v>42419</v>
      </c>
      <c r="J1191" s="63">
        <v>105654.75</v>
      </c>
    </row>
    <row r="1192" spans="1:10" s="9" customFormat="1" ht="16.5" outlineLevel="1" x14ac:dyDescent="0.25">
      <c r="A1192" s="776"/>
      <c r="B1192" s="799"/>
      <c r="C1192" s="112" t="s">
        <v>1007</v>
      </c>
      <c r="D1192" s="89">
        <v>186522.56415401501</v>
      </c>
      <c r="E1192" s="332"/>
      <c r="F1192" s="125"/>
      <c r="G1192" s="334"/>
      <c r="H1192" s="123"/>
      <c r="I1192" s="123"/>
      <c r="J1192" s="125"/>
    </row>
    <row r="1193" spans="1:10" s="7" customFormat="1" ht="17.25" outlineLevel="1" thickBot="1" x14ac:dyDescent="0.3">
      <c r="A1193" s="686" t="s">
        <v>628</v>
      </c>
      <c r="B1193" s="687"/>
      <c r="C1193" s="321"/>
      <c r="D1193" s="222">
        <f>SUM(D1190:D1192)</f>
        <v>29022177.314154014</v>
      </c>
      <c r="E1193" s="322"/>
      <c r="F1193" s="310"/>
      <c r="G1193" s="323">
        <f>SUM(G1190:G1191)</f>
        <v>27835829.129999999</v>
      </c>
      <c r="H1193" s="124"/>
      <c r="I1193" s="130"/>
      <c r="J1193" s="222">
        <f>SUM(J1190:J1191)</f>
        <v>24923495.640000001</v>
      </c>
    </row>
    <row r="1194" spans="1:10" s="7" customFormat="1" ht="31.5" customHeight="1" x14ac:dyDescent="0.25">
      <c r="A1194" s="767">
        <v>8</v>
      </c>
      <c r="B1194" s="769" t="s">
        <v>526</v>
      </c>
      <c r="C1194" s="109" t="s">
        <v>501</v>
      </c>
      <c r="D1194" s="48">
        <v>16086000</v>
      </c>
      <c r="E1194" s="335" t="s">
        <v>966</v>
      </c>
      <c r="F1194" s="51" t="s">
        <v>967</v>
      </c>
      <c r="G1194" s="49">
        <v>15086000</v>
      </c>
      <c r="H1194" s="50">
        <v>42689</v>
      </c>
      <c r="I1194" s="50">
        <v>42699</v>
      </c>
      <c r="J1194" s="51">
        <v>14300000</v>
      </c>
    </row>
    <row r="1195" spans="1:10" s="7" customFormat="1" ht="49.5" outlineLevel="1" x14ac:dyDescent="0.25">
      <c r="A1195" s="768"/>
      <c r="B1195" s="764"/>
      <c r="C1195" s="116" t="s">
        <v>37</v>
      </c>
      <c r="D1195" s="59">
        <v>103963.03</v>
      </c>
      <c r="E1195" s="329" t="s">
        <v>565</v>
      </c>
      <c r="F1195" s="63" t="s">
        <v>564</v>
      </c>
      <c r="G1195" s="61">
        <v>103963.03</v>
      </c>
      <c r="H1195" s="62">
        <v>42419</v>
      </c>
      <c r="I1195" s="62">
        <v>42419</v>
      </c>
      <c r="J1195" s="63">
        <v>103963.03</v>
      </c>
    </row>
    <row r="1196" spans="1:10" s="7" customFormat="1" ht="17.25" outlineLevel="1" thickBot="1" x14ac:dyDescent="0.3">
      <c r="A1196" s="686" t="s">
        <v>628</v>
      </c>
      <c r="B1196" s="687"/>
      <c r="C1196" s="321"/>
      <c r="D1196" s="222">
        <f>SUM(D1194:D1195)</f>
        <v>16189963.029999999</v>
      </c>
      <c r="E1196" s="322"/>
      <c r="F1196" s="310"/>
      <c r="G1196" s="323">
        <f>SUM(G1194:G1195)</f>
        <v>15189963.029999999</v>
      </c>
      <c r="H1196" s="124"/>
      <c r="I1196" s="130"/>
      <c r="J1196" s="222">
        <f>SUM(J1194:J1195)</f>
        <v>14403963.029999999</v>
      </c>
    </row>
    <row r="1197" spans="1:10" s="7" customFormat="1" ht="33" x14ac:dyDescent="0.25">
      <c r="A1197" s="767">
        <v>9</v>
      </c>
      <c r="B1197" s="769" t="s">
        <v>274</v>
      </c>
      <c r="C1197" s="109" t="s">
        <v>501</v>
      </c>
      <c r="D1197" s="48">
        <v>17562600.129999999</v>
      </c>
      <c r="E1197" s="335" t="s">
        <v>1011</v>
      </c>
      <c r="F1197" s="51" t="s">
        <v>967</v>
      </c>
      <c r="G1197" s="49">
        <v>17562600.129999999</v>
      </c>
      <c r="H1197" s="478">
        <v>42809</v>
      </c>
      <c r="I1197" s="478">
        <v>42779</v>
      </c>
      <c r="J1197" s="51">
        <v>16733758.890000001</v>
      </c>
    </row>
    <row r="1198" spans="1:10" s="7" customFormat="1" ht="49.5" outlineLevel="1" x14ac:dyDescent="0.25">
      <c r="A1198" s="768"/>
      <c r="B1198" s="764"/>
      <c r="C1198" s="116" t="s">
        <v>37</v>
      </c>
      <c r="D1198" s="59">
        <v>102093.17</v>
      </c>
      <c r="E1198" s="329" t="s">
        <v>565</v>
      </c>
      <c r="F1198" s="63" t="s">
        <v>564</v>
      </c>
      <c r="G1198" s="61">
        <v>102093.18</v>
      </c>
      <c r="H1198" s="62">
        <v>42419</v>
      </c>
      <c r="I1198" s="62">
        <v>42419</v>
      </c>
      <c r="J1198" s="63">
        <v>102093.17</v>
      </c>
    </row>
    <row r="1199" spans="1:10" s="7" customFormat="1" ht="17.25" outlineLevel="1" thickBot="1" x14ac:dyDescent="0.3">
      <c r="A1199" s="686" t="s">
        <v>628</v>
      </c>
      <c r="B1199" s="687"/>
      <c r="C1199" s="321"/>
      <c r="D1199" s="222">
        <f>SUM(D1197:D1198)</f>
        <v>17664693.300000001</v>
      </c>
      <c r="E1199" s="322"/>
      <c r="F1199" s="310"/>
      <c r="G1199" s="323">
        <f>SUM(G1197:G1198)</f>
        <v>17664693.309999999</v>
      </c>
      <c r="H1199" s="124"/>
      <c r="I1199" s="130"/>
      <c r="J1199" s="222">
        <f>SUM(J1197:J1198)</f>
        <v>16835852.060000002</v>
      </c>
    </row>
    <row r="1200" spans="1:10" s="7" customFormat="1" ht="33" x14ac:dyDescent="0.25">
      <c r="A1200" s="767">
        <v>10</v>
      </c>
      <c r="B1200" s="769" t="s">
        <v>275</v>
      </c>
      <c r="C1200" s="109" t="s">
        <v>34</v>
      </c>
      <c r="D1200" s="48">
        <v>4088753.66</v>
      </c>
      <c r="E1200" s="328" t="s">
        <v>811</v>
      </c>
      <c r="F1200" s="51" t="s">
        <v>692</v>
      </c>
      <c r="G1200" s="49">
        <v>4141143.86</v>
      </c>
      <c r="H1200" s="50">
        <v>42576</v>
      </c>
      <c r="I1200" s="50">
        <v>42556</v>
      </c>
      <c r="J1200" s="51">
        <v>4088753.66</v>
      </c>
    </row>
    <row r="1201" spans="1:10" s="7" customFormat="1" ht="49.5" outlineLevel="1" x14ac:dyDescent="0.25">
      <c r="A1201" s="768"/>
      <c r="B1201" s="764"/>
      <c r="C1201" s="116" t="s">
        <v>37</v>
      </c>
      <c r="D1201" s="59">
        <v>101469.27</v>
      </c>
      <c r="E1201" s="329" t="s">
        <v>565</v>
      </c>
      <c r="F1201" s="63" t="s">
        <v>564</v>
      </c>
      <c r="G1201" s="61">
        <v>101469.27</v>
      </c>
      <c r="H1201" s="62">
        <v>42419</v>
      </c>
      <c r="I1201" s="62">
        <v>42419</v>
      </c>
      <c r="J1201" s="63">
        <v>101469.27</v>
      </c>
    </row>
    <row r="1202" spans="1:10" s="7" customFormat="1" ht="17.25" outlineLevel="1" thickBot="1" x14ac:dyDescent="0.3">
      <c r="A1202" s="686" t="s">
        <v>628</v>
      </c>
      <c r="B1202" s="687"/>
      <c r="C1202" s="321"/>
      <c r="D1202" s="222">
        <f>SUM(D1200:D1201)</f>
        <v>4190222.93</v>
      </c>
      <c r="E1202" s="322"/>
      <c r="F1202" s="310"/>
      <c r="G1202" s="323">
        <f>SUM(G1200:G1201)</f>
        <v>4242613.13</v>
      </c>
      <c r="H1202" s="124"/>
      <c r="I1202" s="130"/>
      <c r="J1202" s="222">
        <f>SUM(J1200:J1201)</f>
        <v>4190222.93</v>
      </c>
    </row>
    <row r="1203" spans="1:10" s="7" customFormat="1" ht="39.75" customHeight="1" x14ac:dyDescent="0.25">
      <c r="A1203" s="765">
        <v>11</v>
      </c>
      <c r="B1203" s="770" t="s">
        <v>272</v>
      </c>
      <c r="C1203" s="109" t="s">
        <v>501</v>
      </c>
      <c r="D1203" s="48">
        <v>19175000</v>
      </c>
      <c r="E1203" s="335" t="s">
        <v>948</v>
      </c>
      <c r="F1203" s="51" t="s">
        <v>897</v>
      </c>
      <c r="G1203" s="49">
        <v>17175829.84</v>
      </c>
      <c r="H1203" s="497">
        <v>42724</v>
      </c>
      <c r="I1203" s="497">
        <v>42809</v>
      </c>
      <c r="J1203" s="51">
        <v>13533749.550000001</v>
      </c>
    </row>
    <row r="1204" spans="1:10" s="7" customFormat="1" ht="49.5" outlineLevel="1" x14ac:dyDescent="0.25">
      <c r="A1204" s="766"/>
      <c r="B1204" s="771"/>
      <c r="C1204" s="116" t="s">
        <v>37</v>
      </c>
      <c r="D1204" s="59">
        <v>101413.13</v>
      </c>
      <c r="E1204" s="329" t="s">
        <v>565</v>
      </c>
      <c r="F1204" s="63" t="s">
        <v>564</v>
      </c>
      <c r="G1204" s="61">
        <v>101413.13</v>
      </c>
      <c r="H1204" s="62">
        <v>42419</v>
      </c>
      <c r="I1204" s="62">
        <v>42419</v>
      </c>
      <c r="J1204" s="63">
        <v>101413.13</v>
      </c>
    </row>
    <row r="1205" spans="1:10" s="9" customFormat="1" ht="16.5" outlineLevel="1" x14ac:dyDescent="0.25">
      <c r="A1205" s="776"/>
      <c r="B1205" s="799"/>
      <c r="C1205" s="112" t="s">
        <v>1007</v>
      </c>
      <c r="D1205" s="89">
        <v>115430.24412742</v>
      </c>
      <c r="E1205" s="332"/>
      <c r="F1205" s="125"/>
      <c r="G1205" s="334"/>
      <c r="H1205" s="123"/>
      <c r="I1205" s="123"/>
      <c r="J1205" s="125"/>
    </row>
    <row r="1206" spans="1:10" s="7" customFormat="1" ht="17.25" outlineLevel="1" thickBot="1" x14ac:dyDescent="0.3">
      <c r="A1206" s="686" t="s">
        <v>628</v>
      </c>
      <c r="B1206" s="687"/>
      <c r="C1206" s="321"/>
      <c r="D1206" s="222">
        <f>SUM(D1203:D1205)</f>
        <v>19391843.374127418</v>
      </c>
      <c r="E1206" s="322"/>
      <c r="F1206" s="310"/>
      <c r="G1206" s="323">
        <f>SUM(G1203:G1204)</f>
        <v>17277242.969999999</v>
      </c>
      <c r="H1206" s="124"/>
      <c r="I1206" s="130"/>
      <c r="J1206" s="222">
        <f>SUM(J1203:J1204)</f>
        <v>13635162.680000002</v>
      </c>
    </row>
    <row r="1207" spans="1:10" s="7" customFormat="1" ht="41.25" customHeight="1" x14ac:dyDescent="0.25">
      <c r="A1207" s="765">
        <v>12</v>
      </c>
      <c r="B1207" s="770" t="s">
        <v>527</v>
      </c>
      <c r="C1207" s="109" t="s">
        <v>501</v>
      </c>
      <c r="D1207" s="48">
        <v>6390000</v>
      </c>
      <c r="E1207" s="335" t="s">
        <v>900</v>
      </c>
      <c r="F1207" s="51" t="s">
        <v>897</v>
      </c>
      <c r="G1207" s="49">
        <v>5386712.3399999999</v>
      </c>
      <c r="H1207" s="497">
        <v>42679</v>
      </c>
      <c r="I1207" s="497">
        <v>42809</v>
      </c>
      <c r="J1207" s="51">
        <v>4376964.97</v>
      </c>
    </row>
    <row r="1208" spans="1:10" s="7" customFormat="1" ht="49.5" outlineLevel="1" x14ac:dyDescent="0.25">
      <c r="A1208" s="766"/>
      <c r="B1208" s="771"/>
      <c r="C1208" s="116" t="s">
        <v>37</v>
      </c>
      <c r="D1208" s="59">
        <v>81706.09</v>
      </c>
      <c r="E1208" s="329" t="s">
        <v>565</v>
      </c>
      <c r="F1208" s="63" t="s">
        <v>564</v>
      </c>
      <c r="G1208" s="61">
        <v>81706.09</v>
      </c>
      <c r="H1208" s="62">
        <v>42419</v>
      </c>
      <c r="I1208" s="62">
        <v>42419</v>
      </c>
      <c r="J1208" s="63">
        <v>81706.09</v>
      </c>
    </row>
    <row r="1209" spans="1:10" s="9" customFormat="1" ht="16.5" outlineLevel="1" x14ac:dyDescent="0.25">
      <c r="A1209" s="776"/>
      <c r="B1209" s="799"/>
      <c r="C1209" s="112" t="s">
        <v>1007</v>
      </c>
      <c r="D1209" s="89">
        <v>36221.167493003202</v>
      </c>
      <c r="E1209" s="332"/>
      <c r="F1209" s="125"/>
      <c r="G1209" s="334"/>
      <c r="H1209" s="123"/>
      <c r="I1209" s="123"/>
      <c r="J1209" s="125"/>
    </row>
    <row r="1210" spans="1:10" s="7" customFormat="1" ht="17.25" outlineLevel="1" thickBot="1" x14ac:dyDescent="0.3">
      <c r="A1210" s="686" t="s">
        <v>628</v>
      </c>
      <c r="B1210" s="687"/>
      <c r="C1210" s="321"/>
      <c r="D1210" s="222">
        <f>SUM(D1207:D1209)</f>
        <v>6507927.2574930033</v>
      </c>
      <c r="E1210" s="322"/>
      <c r="F1210" s="310"/>
      <c r="G1210" s="323">
        <f>SUM(G1207:G1208)</f>
        <v>5468418.4299999997</v>
      </c>
      <c r="H1210" s="124"/>
      <c r="I1210" s="130"/>
      <c r="J1210" s="222">
        <f>SUM(J1207:J1208)</f>
        <v>4458671.0599999996</v>
      </c>
    </row>
    <row r="1211" spans="1:10" s="7" customFormat="1" ht="42" customHeight="1" x14ac:dyDescent="0.25">
      <c r="A1211" s="765">
        <v>13</v>
      </c>
      <c r="B1211" s="770" t="s">
        <v>528</v>
      </c>
      <c r="C1211" s="109" t="s">
        <v>501</v>
      </c>
      <c r="D1211" s="48">
        <v>4050000</v>
      </c>
      <c r="E1211" s="335" t="s">
        <v>900</v>
      </c>
      <c r="F1211" s="51" t="s">
        <v>897</v>
      </c>
      <c r="G1211" s="49">
        <v>3040314.18</v>
      </c>
      <c r="H1211" s="497">
        <v>42679</v>
      </c>
      <c r="I1211" s="497">
        <v>42809</v>
      </c>
      <c r="J1211" s="51">
        <v>2675482.48</v>
      </c>
    </row>
    <row r="1212" spans="1:10" s="7" customFormat="1" ht="49.5" outlineLevel="1" x14ac:dyDescent="0.25">
      <c r="A1212" s="766"/>
      <c r="B1212" s="771"/>
      <c r="C1212" s="116" t="s">
        <v>37</v>
      </c>
      <c r="D1212" s="59">
        <v>68154.11</v>
      </c>
      <c r="E1212" s="329" t="s">
        <v>565</v>
      </c>
      <c r="F1212" s="63" t="s">
        <v>564</v>
      </c>
      <c r="G1212" s="61">
        <v>68154.11</v>
      </c>
      <c r="H1212" s="62">
        <v>42419</v>
      </c>
      <c r="I1212" s="62">
        <v>42419</v>
      </c>
      <c r="J1212" s="63">
        <v>68154.11</v>
      </c>
    </row>
    <row r="1213" spans="1:10" s="9" customFormat="1" ht="16.5" outlineLevel="1" x14ac:dyDescent="0.25">
      <c r="A1213" s="776"/>
      <c r="B1213" s="799"/>
      <c r="C1213" s="112" t="s">
        <v>1007</v>
      </c>
      <c r="D1213" s="89">
        <v>20443.573307856899</v>
      </c>
      <c r="E1213" s="332"/>
      <c r="F1213" s="125"/>
      <c r="G1213" s="334"/>
      <c r="H1213" s="123"/>
      <c r="I1213" s="123"/>
      <c r="J1213" s="125"/>
    </row>
    <row r="1214" spans="1:10" s="7" customFormat="1" ht="17.25" outlineLevel="1" thickBot="1" x14ac:dyDescent="0.3">
      <c r="A1214" s="686" t="s">
        <v>628</v>
      </c>
      <c r="B1214" s="687"/>
      <c r="C1214" s="321"/>
      <c r="D1214" s="222">
        <f>SUM(D1211:D1213)</f>
        <v>4138597.6833078568</v>
      </c>
      <c r="E1214" s="322"/>
      <c r="F1214" s="310"/>
      <c r="G1214" s="323">
        <f>SUM(G1211:G1212)</f>
        <v>3108468.29</v>
      </c>
      <c r="H1214" s="124"/>
      <c r="I1214" s="130"/>
      <c r="J1214" s="222">
        <f>SUM(J1211:J1212)</f>
        <v>2743636.59</v>
      </c>
    </row>
    <row r="1215" spans="1:10" s="7" customFormat="1" ht="42" customHeight="1" x14ac:dyDescent="0.25">
      <c r="A1215" s="765">
        <v>14</v>
      </c>
      <c r="B1215" s="770" t="s">
        <v>529</v>
      </c>
      <c r="C1215" s="109" t="s">
        <v>501</v>
      </c>
      <c r="D1215" s="48">
        <v>5333000</v>
      </c>
      <c r="E1215" s="335" t="s">
        <v>900</v>
      </c>
      <c r="F1215" s="51" t="s">
        <v>897</v>
      </c>
      <c r="G1215" s="49">
        <v>4222973.4800000004</v>
      </c>
      <c r="H1215" s="497">
        <v>42679</v>
      </c>
      <c r="I1215" s="497">
        <v>42809</v>
      </c>
      <c r="J1215" s="51">
        <v>3602461.62</v>
      </c>
    </row>
    <row r="1216" spans="1:10" s="7" customFormat="1" ht="49.5" outlineLevel="1" x14ac:dyDescent="0.25">
      <c r="A1216" s="766"/>
      <c r="B1216" s="771"/>
      <c r="C1216" s="116" t="s">
        <v>37</v>
      </c>
      <c r="D1216" s="59">
        <v>68916.5</v>
      </c>
      <c r="E1216" s="329" t="s">
        <v>565</v>
      </c>
      <c r="F1216" s="63" t="s">
        <v>564</v>
      </c>
      <c r="G1216" s="61">
        <v>68916.5</v>
      </c>
      <c r="H1216" s="62">
        <v>42419</v>
      </c>
      <c r="I1216" s="62">
        <v>42419</v>
      </c>
      <c r="J1216" s="63">
        <v>68916.5</v>
      </c>
    </row>
    <row r="1217" spans="1:10" s="9" customFormat="1" ht="16.5" outlineLevel="1" x14ac:dyDescent="0.25">
      <c r="A1217" s="776"/>
      <c r="B1217" s="799"/>
      <c r="C1217" s="112" t="s">
        <v>1007</v>
      </c>
      <c r="D1217" s="89">
        <v>28396.013578773502</v>
      </c>
      <c r="E1217" s="332"/>
      <c r="F1217" s="125"/>
      <c r="G1217" s="334"/>
      <c r="H1217" s="123"/>
      <c r="I1217" s="123"/>
      <c r="J1217" s="125"/>
    </row>
    <row r="1218" spans="1:10" s="7" customFormat="1" ht="17.25" outlineLevel="1" thickBot="1" x14ac:dyDescent="0.3">
      <c r="A1218" s="686" t="s">
        <v>628</v>
      </c>
      <c r="B1218" s="687"/>
      <c r="C1218" s="321"/>
      <c r="D1218" s="222">
        <f>SUM(D1215:D1217)</f>
        <v>5430312.5135787735</v>
      </c>
      <c r="E1218" s="322"/>
      <c r="F1218" s="310"/>
      <c r="G1218" s="323">
        <f>SUM(G1215:G1216)</f>
        <v>4291889.9800000004</v>
      </c>
      <c r="H1218" s="124"/>
      <c r="I1218" s="130"/>
      <c r="J1218" s="222">
        <f>SUM(J1215:J1216)</f>
        <v>3671378.12</v>
      </c>
    </row>
    <row r="1219" spans="1:10" s="7" customFormat="1" ht="50.25" customHeight="1" x14ac:dyDescent="0.25">
      <c r="A1219" s="336">
        <v>15</v>
      </c>
      <c r="B1219" s="183" t="s">
        <v>263</v>
      </c>
      <c r="C1219" s="48" t="s">
        <v>34</v>
      </c>
      <c r="D1219" s="48">
        <v>989535.97</v>
      </c>
      <c r="E1219" s="335" t="s">
        <v>810</v>
      </c>
      <c r="F1219" s="51" t="s">
        <v>697</v>
      </c>
      <c r="G1219" s="49">
        <v>1658393.94</v>
      </c>
      <c r="H1219" s="50">
        <v>42565</v>
      </c>
      <c r="I1219" s="50">
        <v>42552</v>
      </c>
      <c r="J1219" s="51">
        <v>989535.97</v>
      </c>
    </row>
    <row r="1220" spans="1:10" s="7" customFormat="1" ht="17.25" outlineLevel="1" thickBot="1" x14ac:dyDescent="0.3">
      <c r="A1220" s="686" t="s">
        <v>628</v>
      </c>
      <c r="B1220" s="687"/>
      <c r="C1220" s="223"/>
      <c r="D1220" s="222">
        <f>SUM(D1219:D1219)</f>
        <v>989535.97</v>
      </c>
      <c r="E1220" s="322"/>
      <c r="F1220" s="310"/>
      <c r="G1220" s="323">
        <f>SUM(G1219:G1219)</f>
        <v>1658393.94</v>
      </c>
      <c r="H1220" s="124"/>
      <c r="I1220" s="130"/>
      <c r="J1220" s="222">
        <f>SUM(J1219:J1219)</f>
        <v>989535.97</v>
      </c>
    </row>
    <row r="1221" spans="1:10" s="7" customFormat="1" ht="30.75" customHeight="1" x14ac:dyDescent="0.25">
      <c r="A1221" s="336">
        <v>16</v>
      </c>
      <c r="B1221" s="183" t="s">
        <v>264</v>
      </c>
      <c r="C1221" s="48" t="s">
        <v>34</v>
      </c>
      <c r="D1221" s="48">
        <v>1431846.95</v>
      </c>
      <c r="E1221" s="335" t="s">
        <v>810</v>
      </c>
      <c r="F1221" s="51" t="s">
        <v>697</v>
      </c>
      <c r="G1221" s="49">
        <v>2165787.41</v>
      </c>
      <c r="H1221" s="50">
        <v>42565</v>
      </c>
      <c r="I1221" s="50">
        <v>42552</v>
      </c>
      <c r="J1221" s="51">
        <v>1431846.95</v>
      </c>
    </row>
    <row r="1222" spans="1:10" s="7" customFormat="1" ht="17.25" outlineLevel="1" thickBot="1" x14ac:dyDescent="0.3">
      <c r="A1222" s="686" t="s">
        <v>628</v>
      </c>
      <c r="B1222" s="687"/>
      <c r="C1222" s="223"/>
      <c r="D1222" s="222">
        <f>SUM(D1221:D1221)</f>
        <v>1431846.95</v>
      </c>
      <c r="E1222" s="322"/>
      <c r="F1222" s="310"/>
      <c r="G1222" s="323">
        <f>SUM(G1221:G1221)</f>
        <v>2165787.41</v>
      </c>
      <c r="H1222" s="124"/>
      <c r="I1222" s="130"/>
      <c r="J1222" s="222">
        <f>SUM(J1221:J1221)</f>
        <v>1431846.95</v>
      </c>
    </row>
    <row r="1223" spans="1:10" s="7" customFormat="1" ht="33" x14ac:dyDescent="0.25">
      <c r="A1223" s="776">
        <v>17</v>
      </c>
      <c r="B1223" s="799" t="s">
        <v>276</v>
      </c>
      <c r="C1223" s="337" t="s">
        <v>500</v>
      </c>
      <c r="D1223" s="104">
        <v>3578689.43</v>
      </c>
      <c r="E1223" s="328" t="s">
        <v>810</v>
      </c>
      <c r="F1223" s="107" t="s">
        <v>697</v>
      </c>
      <c r="G1223" s="106">
        <v>4075818.65</v>
      </c>
      <c r="H1223" s="76">
        <v>42565</v>
      </c>
      <c r="I1223" s="50">
        <v>42552</v>
      </c>
      <c r="J1223" s="107">
        <v>3562036.13</v>
      </c>
    </row>
    <row r="1224" spans="1:10" s="7" customFormat="1" ht="49.5" outlineLevel="1" x14ac:dyDescent="0.25">
      <c r="A1224" s="768"/>
      <c r="B1224" s="764"/>
      <c r="C1224" s="116" t="s">
        <v>37</v>
      </c>
      <c r="D1224" s="59">
        <v>64211.519999999997</v>
      </c>
      <c r="E1224" s="329" t="s">
        <v>565</v>
      </c>
      <c r="F1224" s="63" t="s">
        <v>564</v>
      </c>
      <c r="G1224" s="61">
        <v>64211.519999999997</v>
      </c>
      <c r="H1224" s="62">
        <v>42419</v>
      </c>
      <c r="I1224" s="62">
        <v>42419</v>
      </c>
      <c r="J1224" s="63">
        <v>64211.519999999997</v>
      </c>
    </row>
    <row r="1225" spans="1:10" s="7" customFormat="1" ht="17.25" outlineLevel="1" thickBot="1" x14ac:dyDescent="0.3">
      <c r="A1225" s="686" t="s">
        <v>628</v>
      </c>
      <c r="B1225" s="687"/>
      <c r="C1225" s="321"/>
      <c r="D1225" s="222">
        <f>SUM(D1223:D1224)</f>
        <v>3642900.95</v>
      </c>
      <c r="E1225" s="322"/>
      <c r="F1225" s="310"/>
      <c r="G1225" s="323">
        <f>SUM(G1223:G1224)</f>
        <v>4140030.17</v>
      </c>
      <c r="H1225" s="124"/>
      <c r="I1225" s="130"/>
      <c r="J1225" s="222">
        <f>SUM(J1223:J1224)</f>
        <v>3626247.65</v>
      </c>
    </row>
    <row r="1226" spans="1:10" s="20" customFormat="1" ht="48.75" customHeight="1" x14ac:dyDescent="0.25">
      <c r="A1226" s="479">
        <v>18</v>
      </c>
      <c r="B1226" s="480" t="s">
        <v>265</v>
      </c>
      <c r="C1226" s="109" t="s">
        <v>501</v>
      </c>
      <c r="D1226" s="48">
        <v>8998599.7599999998</v>
      </c>
      <c r="E1226" s="335" t="s">
        <v>825</v>
      </c>
      <c r="F1226" s="51" t="s">
        <v>755</v>
      </c>
      <c r="G1226" s="49">
        <v>9844000</v>
      </c>
      <c r="H1226" s="50">
        <v>42603</v>
      </c>
      <c r="I1226" s="50">
        <v>42598</v>
      </c>
      <c r="J1226" s="51">
        <v>8998599.7599999998</v>
      </c>
    </row>
    <row r="1227" spans="1:10" s="7" customFormat="1" ht="17.25" outlineLevel="1" thickBot="1" x14ac:dyDescent="0.3">
      <c r="A1227" s="724" t="s">
        <v>628</v>
      </c>
      <c r="B1227" s="725"/>
      <c r="C1227" s="284"/>
      <c r="D1227" s="269">
        <f>SUM(D1226:D1226)</f>
        <v>8998599.7599999998</v>
      </c>
      <c r="E1227" s="332"/>
      <c r="F1227" s="125"/>
      <c r="G1227" s="333">
        <f>SUM(G1226:G1226)</f>
        <v>9844000</v>
      </c>
      <c r="H1227" s="123"/>
      <c r="I1227" s="108"/>
      <c r="J1227" s="269">
        <f>SUM(J1226:J1226)</f>
        <v>8998599.7599999998</v>
      </c>
    </row>
    <row r="1228" spans="1:10" s="7" customFormat="1" ht="47.25" customHeight="1" x14ac:dyDescent="0.25">
      <c r="A1228" s="336">
        <v>19</v>
      </c>
      <c r="B1228" s="183" t="s">
        <v>266</v>
      </c>
      <c r="C1228" s="324" t="s">
        <v>501</v>
      </c>
      <c r="D1228" s="325">
        <v>6480000</v>
      </c>
      <c r="E1228" s="184" t="s">
        <v>1059</v>
      </c>
      <c r="F1228" s="184" t="s">
        <v>972</v>
      </c>
      <c r="G1228" s="327">
        <v>4482888.4400000004</v>
      </c>
      <c r="H1228" s="83">
        <v>42794</v>
      </c>
      <c r="I1228" s="84"/>
      <c r="J1228" s="85"/>
    </row>
    <row r="1229" spans="1:10" s="7" customFormat="1" ht="17.25" outlineLevel="1" thickBot="1" x14ac:dyDescent="0.3">
      <c r="A1229" s="686" t="s">
        <v>628</v>
      </c>
      <c r="B1229" s="687"/>
      <c r="C1229" s="321"/>
      <c r="D1229" s="222">
        <f>SUM(D1228:D1228)</f>
        <v>6480000</v>
      </c>
      <c r="E1229" s="322"/>
      <c r="F1229" s="310"/>
      <c r="G1229" s="323">
        <f>SUM(G1228:G1228)</f>
        <v>4482888.4400000004</v>
      </c>
      <c r="H1229" s="124"/>
      <c r="I1229" s="130"/>
      <c r="J1229" s="222">
        <f>SUM(J1228:J1228)</f>
        <v>0</v>
      </c>
    </row>
    <row r="1230" spans="1:10" s="7" customFormat="1" ht="33.75" customHeight="1" x14ac:dyDescent="0.25">
      <c r="A1230" s="765">
        <v>20</v>
      </c>
      <c r="B1230" s="852" t="s">
        <v>267</v>
      </c>
      <c r="C1230" s="109" t="s">
        <v>501</v>
      </c>
      <c r="D1230" s="48">
        <v>9796981.3699999992</v>
      </c>
      <c r="E1230" s="335" t="s">
        <v>1023</v>
      </c>
      <c r="F1230" s="51" t="s">
        <v>755</v>
      </c>
      <c r="G1230" s="49">
        <v>9796981.3699999992</v>
      </c>
      <c r="H1230" s="481">
        <v>42620</v>
      </c>
      <c r="I1230" s="481">
        <v>42793</v>
      </c>
      <c r="J1230" s="51">
        <v>9245511.2200000007</v>
      </c>
    </row>
    <row r="1231" spans="1:10" s="9" customFormat="1" ht="16.5" outlineLevel="1" x14ac:dyDescent="0.25">
      <c r="A1231" s="776"/>
      <c r="B1231" s="774"/>
      <c r="C1231" s="112" t="s">
        <v>1007</v>
      </c>
      <c r="D1231" s="89">
        <v>67954.382029538494</v>
      </c>
      <c r="E1231" s="332"/>
      <c r="F1231" s="125"/>
      <c r="G1231" s="334"/>
      <c r="H1231" s="123"/>
      <c r="I1231" s="123"/>
      <c r="J1231" s="125"/>
    </row>
    <row r="1232" spans="1:10" s="7" customFormat="1" ht="17.25" outlineLevel="1" thickBot="1" x14ac:dyDescent="0.3">
      <c r="A1232" s="686" t="s">
        <v>628</v>
      </c>
      <c r="B1232" s="687"/>
      <c r="C1232" s="321"/>
      <c r="D1232" s="222">
        <f>SUM(D1230:D1231)</f>
        <v>9864935.7520295382</v>
      </c>
      <c r="E1232" s="322"/>
      <c r="F1232" s="310"/>
      <c r="G1232" s="323">
        <f>SUM(G1230:G1230)</f>
        <v>9796981.3699999992</v>
      </c>
      <c r="H1232" s="124"/>
      <c r="I1232" s="130"/>
      <c r="J1232" s="222">
        <f>SUM(J1230:J1230)</f>
        <v>9245511.2200000007</v>
      </c>
    </row>
    <row r="1233" spans="1:10" s="7" customFormat="1" ht="56.25" customHeight="1" x14ac:dyDescent="0.25">
      <c r="A1233" s="765">
        <v>21</v>
      </c>
      <c r="B1233" s="852" t="s">
        <v>530</v>
      </c>
      <c r="C1233" s="109" t="s">
        <v>501</v>
      </c>
      <c r="D1233" s="48">
        <v>13147018.630000001</v>
      </c>
      <c r="E1233" s="335" t="s">
        <v>1023</v>
      </c>
      <c r="F1233" s="51" t="s">
        <v>755</v>
      </c>
      <c r="G1233" s="49">
        <v>13147018.630000001</v>
      </c>
      <c r="H1233" s="50">
        <v>42804</v>
      </c>
      <c r="I1233" s="50">
        <v>42711</v>
      </c>
      <c r="J1233" s="51">
        <v>12405048.539999999</v>
      </c>
    </row>
    <row r="1234" spans="1:10" s="7" customFormat="1" ht="49.5" outlineLevel="1" x14ac:dyDescent="0.25">
      <c r="A1234" s="766"/>
      <c r="B1234" s="853"/>
      <c r="C1234" s="116" t="s">
        <v>37</v>
      </c>
      <c r="D1234" s="59">
        <v>101007.64</v>
      </c>
      <c r="E1234" s="329" t="s">
        <v>565</v>
      </c>
      <c r="F1234" s="63" t="s">
        <v>564</v>
      </c>
      <c r="G1234" s="61">
        <v>101007.64</v>
      </c>
      <c r="H1234" s="62">
        <v>42419</v>
      </c>
      <c r="I1234" s="62">
        <v>42419</v>
      </c>
      <c r="J1234" s="63">
        <v>101007.64</v>
      </c>
    </row>
    <row r="1235" spans="1:10" s="9" customFormat="1" ht="16.5" outlineLevel="1" x14ac:dyDescent="0.25">
      <c r="A1235" s="776"/>
      <c r="B1235" s="774"/>
      <c r="C1235" s="112" t="s">
        <v>1007</v>
      </c>
      <c r="D1235" s="89">
        <v>91191.064244609603</v>
      </c>
      <c r="E1235" s="332"/>
      <c r="F1235" s="125"/>
      <c r="G1235" s="334"/>
      <c r="H1235" s="123"/>
      <c r="I1235" s="123"/>
      <c r="J1235" s="125"/>
    </row>
    <row r="1236" spans="1:10" s="7" customFormat="1" ht="17.25" outlineLevel="1" thickBot="1" x14ac:dyDescent="0.3">
      <c r="A1236" s="686" t="s">
        <v>628</v>
      </c>
      <c r="B1236" s="687"/>
      <c r="C1236" s="321"/>
      <c r="D1236" s="222">
        <f>SUM(D1233:D1235)</f>
        <v>13339217.334244611</v>
      </c>
      <c r="E1236" s="322"/>
      <c r="F1236" s="310"/>
      <c r="G1236" s="323">
        <f>SUM(G1233:G1234)</f>
        <v>13248026.270000001</v>
      </c>
      <c r="H1236" s="124"/>
      <c r="I1236" s="130"/>
      <c r="J1236" s="222">
        <f>SUM(J1233:J1234)</f>
        <v>12506056.18</v>
      </c>
    </row>
    <row r="1237" spans="1:10" s="7" customFormat="1" ht="33" x14ac:dyDescent="0.25">
      <c r="A1237" s="765">
        <v>22</v>
      </c>
      <c r="B1237" s="852" t="s">
        <v>531</v>
      </c>
      <c r="C1237" s="109" t="s">
        <v>501</v>
      </c>
      <c r="D1237" s="48">
        <v>16980000</v>
      </c>
      <c r="E1237" s="335" t="s">
        <v>840</v>
      </c>
      <c r="F1237" s="51" t="s">
        <v>755</v>
      </c>
      <c r="G1237" s="49">
        <v>14986999.9984028</v>
      </c>
      <c r="H1237" s="50">
        <v>42631</v>
      </c>
      <c r="I1237" s="50">
        <v>42697</v>
      </c>
      <c r="J1237" s="51">
        <v>14723929.08</v>
      </c>
    </row>
    <row r="1238" spans="1:10" s="7" customFormat="1" ht="49.5" outlineLevel="1" x14ac:dyDescent="0.25">
      <c r="A1238" s="766"/>
      <c r="B1238" s="853"/>
      <c r="C1238" s="116" t="s">
        <v>37</v>
      </c>
      <c r="D1238" s="59">
        <v>96101.49</v>
      </c>
      <c r="E1238" s="329" t="s">
        <v>565</v>
      </c>
      <c r="F1238" s="63" t="s">
        <v>564</v>
      </c>
      <c r="G1238" s="61">
        <v>96101.49</v>
      </c>
      <c r="H1238" s="62">
        <v>42419</v>
      </c>
      <c r="I1238" s="62">
        <v>42419</v>
      </c>
      <c r="J1238" s="63">
        <v>96101.49</v>
      </c>
    </row>
    <row r="1239" spans="1:10" s="9" customFormat="1" ht="16.5" outlineLevel="1" x14ac:dyDescent="0.25">
      <c r="A1239" s="776"/>
      <c r="B1239" s="774"/>
      <c r="C1239" s="112" t="s">
        <v>1007</v>
      </c>
      <c r="D1239" s="89">
        <v>107033.023727904</v>
      </c>
      <c r="E1239" s="332"/>
      <c r="F1239" s="125"/>
      <c r="G1239" s="334"/>
      <c r="H1239" s="123"/>
      <c r="I1239" s="123"/>
      <c r="J1239" s="125"/>
    </row>
    <row r="1240" spans="1:10" s="7" customFormat="1" ht="17.25" outlineLevel="1" thickBot="1" x14ac:dyDescent="0.3">
      <c r="A1240" s="724" t="s">
        <v>628</v>
      </c>
      <c r="B1240" s="725"/>
      <c r="C1240" s="284"/>
      <c r="D1240" s="269">
        <f>SUM(D1237:D1239)</f>
        <v>17183134.513727903</v>
      </c>
      <c r="E1240" s="332"/>
      <c r="F1240" s="125"/>
      <c r="G1240" s="333">
        <f>SUM(G1237:G1238)</f>
        <v>15083101.488402801</v>
      </c>
      <c r="H1240" s="123"/>
      <c r="I1240" s="108"/>
      <c r="J1240" s="269">
        <f>SUM(J1237:J1238)</f>
        <v>14820030.57</v>
      </c>
    </row>
    <row r="1241" spans="1:10" s="7" customFormat="1" ht="33" x14ac:dyDescent="0.25">
      <c r="A1241" s="767">
        <v>23</v>
      </c>
      <c r="B1241" s="769" t="s">
        <v>277</v>
      </c>
      <c r="C1241" s="109" t="s">
        <v>500</v>
      </c>
      <c r="D1241" s="48">
        <v>1981773.65</v>
      </c>
      <c r="E1241" s="335" t="s">
        <v>833</v>
      </c>
      <c r="F1241" s="51" t="s">
        <v>787</v>
      </c>
      <c r="G1241" s="49">
        <v>2395670.8199999998</v>
      </c>
      <c r="H1241" s="50">
        <v>42571</v>
      </c>
      <c r="I1241" s="50">
        <v>42570</v>
      </c>
      <c r="J1241" s="51">
        <v>1976850.14</v>
      </c>
    </row>
    <row r="1242" spans="1:10" s="7" customFormat="1" ht="49.5" outlineLevel="1" x14ac:dyDescent="0.25">
      <c r="A1242" s="768"/>
      <c r="B1242" s="764"/>
      <c r="C1242" s="116" t="s">
        <v>37</v>
      </c>
      <c r="D1242" s="59">
        <v>67201.22</v>
      </c>
      <c r="E1242" s="329" t="s">
        <v>565</v>
      </c>
      <c r="F1242" s="63" t="s">
        <v>564</v>
      </c>
      <c r="G1242" s="61">
        <v>67201.22</v>
      </c>
      <c r="H1242" s="62">
        <v>42419</v>
      </c>
      <c r="I1242" s="62">
        <v>42419</v>
      </c>
      <c r="J1242" s="63">
        <v>67201.22</v>
      </c>
    </row>
    <row r="1243" spans="1:10" s="7" customFormat="1" ht="17.25" outlineLevel="1" thickBot="1" x14ac:dyDescent="0.3">
      <c r="A1243" s="686" t="s">
        <v>628</v>
      </c>
      <c r="B1243" s="687"/>
      <c r="C1243" s="321"/>
      <c r="D1243" s="222">
        <f>SUM(D1241:D1242)</f>
        <v>2048974.8699999999</v>
      </c>
      <c r="E1243" s="322"/>
      <c r="F1243" s="310"/>
      <c r="G1243" s="323">
        <f>SUM(G1241:G1242)</f>
        <v>2462872.04</v>
      </c>
      <c r="H1243" s="124"/>
      <c r="I1243" s="130"/>
      <c r="J1243" s="222">
        <f>SUM(J1241:J1242)</f>
        <v>2044051.3599999999</v>
      </c>
    </row>
    <row r="1244" spans="1:10" s="7" customFormat="1" ht="38.25" customHeight="1" x14ac:dyDescent="0.25">
      <c r="A1244" s="765">
        <v>24</v>
      </c>
      <c r="B1244" s="770" t="s">
        <v>532</v>
      </c>
      <c r="C1244" s="109" t="s">
        <v>501</v>
      </c>
      <c r="D1244" s="48">
        <v>7135000</v>
      </c>
      <c r="E1244" s="335" t="s">
        <v>945</v>
      </c>
      <c r="F1244" s="51" t="s">
        <v>702</v>
      </c>
      <c r="G1244" s="49">
        <v>5173424.09</v>
      </c>
      <c r="H1244" s="497">
        <v>42704</v>
      </c>
      <c r="I1244" s="497">
        <v>42809</v>
      </c>
      <c r="J1244" s="51">
        <v>3798208.32</v>
      </c>
    </row>
    <row r="1245" spans="1:10" s="7" customFormat="1" ht="33" customHeight="1" outlineLevel="1" x14ac:dyDescent="0.25">
      <c r="A1245" s="766"/>
      <c r="B1245" s="771"/>
      <c r="C1245" s="150" t="s">
        <v>37</v>
      </c>
      <c r="D1245" s="151">
        <v>92954.32</v>
      </c>
      <c r="E1245" s="320" t="s">
        <v>1332</v>
      </c>
      <c r="F1245" s="155" t="s">
        <v>1333</v>
      </c>
      <c r="G1245" s="153">
        <v>78774.850000000006</v>
      </c>
      <c r="H1245" s="154">
        <v>42489</v>
      </c>
      <c r="I1245" s="154">
        <v>42489</v>
      </c>
      <c r="J1245" s="155">
        <v>92954.32</v>
      </c>
    </row>
    <row r="1246" spans="1:10" s="9" customFormat="1" ht="16.5" outlineLevel="1" x14ac:dyDescent="0.25">
      <c r="A1246" s="776"/>
      <c r="B1246" s="799"/>
      <c r="C1246" s="112" t="s">
        <v>1007</v>
      </c>
      <c r="D1246" s="89">
        <v>40539.798814967697</v>
      </c>
      <c r="E1246" s="332"/>
      <c r="F1246" s="125"/>
      <c r="G1246" s="334"/>
      <c r="H1246" s="123"/>
      <c r="I1246" s="123"/>
      <c r="J1246" s="125"/>
    </row>
    <row r="1247" spans="1:10" s="7" customFormat="1" ht="17.25" outlineLevel="1" thickBot="1" x14ac:dyDescent="0.3">
      <c r="A1247" s="686" t="s">
        <v>628</v>
      </c>
      <c r="B1247" s="687"/>
      <c r="C1247" s="321"/>
      <c r="D1247" s="222">
        <f>SUM(D1244:D1246)</f>
        <v>7268494.1188149676</v>
      </c>
      <c r="E1247" s="322"/>
      <c r="F1247" s="310"/>
      <c r="G1247" s="323">
        <f>SUM(G1244:G1245)</f>
        <v>5252198.9399999995</v>
      </c>
      <c r="H1247" s="124"/>
      <c r="I1247" s="130"/>
      <c r="J1247" s="222">
        <f t="shared" ref="J1247" si="18">SUM(J1244:J1245)</f>
        <v>3891162.6399999997</v>
      </c>
    </row>
    <row r="1248" spans="1:10" s="7" customFormat="1" ht="40.5" customHeight="1" x14ac:dyDescent="0.25">
      <c r="A1248" s="765">
        <v>25</v>
      </c>
      <c r="B1248" s="770" t="s">
        <v>278</v>
      </c>
      <c r="C1248" s="109" t="s">
        <v>501</v>
      </c>
      <c r="D1248" s="48">
        <v>8795000</v>
      </c>
      <c r="E1248" s="335" t="s">
        <v>945</v>
      </c>
      <c r="F1248" s="51" t="s">
        <v>702</v>
      </c>
      <c r="G1248" s="49">
        <v>5696401.5300000003</v>
      </c>
      <c r="H1248" s="497">
        <v>42704</v>
      </c>
      <c r="I1248" s="497">
        <v>42809</v>
      </c>
      <c r="J1248" s="51">
        <v>4695271.7699999996</v>
      </c>
    </row>
    <row r="1249" spans="1:10" s="7" customFormat="1" ht="49.5" outlineLevel="1" x14ac:dyDescent="0.25">
      <c r="A1249" s="766"/>
      <c r="B1249" s="771"/>
      <c r="C1249" s="116" t="s">
        <v>37</v>
      </c>
      <c r="D1249" s="59">
        <v>78354.320000000007</v>
      </c>
      <c r="E1249" s="329" t="s">
        <v>565</v>
      </c>
      <c r="F1249" s="63" t="s">
        <v>564</v>
      </c>
      <c r="G1249" s="61">
        <v>78354.320000000007</v>
      </c>
      <c r="H1249" s="62">
        <v>42419</v>
      </c>
      <c r="I1249" s="62">
        <v>42419</v>
      </c>
      <c r="J1249" s="63">
        <v>78354.320000000007</v>
      </c>
    </row>
    <row r="1250" spans="1:10" s="9" customFormat="1" ht="16.5" outlineLevel="1" x14ac:dyDescent="0.25">
      <c r="A1250" s="776"/>
      <c r="B1250" s="799"/>
      <c r="C1250" s="112" t="s">
        <v>1007</v>
      </c>
      <c r="D1250" s="89">
        <v>38315.948769629496</v>
      </c>
      <c r="E1250" s="332"/>
      <c r="F1250" s="125"/>
      <c r="G1250" s="334"/>
      <c r="H1250" s="123"/>
      <c r="I1250" s="123"/>
      <c r="J1250" s="125"/>
    </row>
    <row r="1251" spans="1:10" s="7" customFormat="1" ht="17.25" outlineLevel="1" thickBot="1" x14ac:dyDescent="0.3">
      <c r="A1251" s="724" t="s">
        <v>628</v>
      </c>
      <c r="B1251" s="725"/>
      <c r="C1251" s="284"/>
      <c r="D1251" s="269">
        <f>SUM(D1248:D1250)</f>
        <v>8911670.2687696293</v>
      </c>
      <c r="E1251" s="332"/>
      <c r="F1251" s="125"/>
      <c r="G1251" s="333">
        <f>SUM(G1248:G1249)</f>
        <v>5774755.8500000006</v>
      </c>
      <c r="H1251" s="123"/>
      <c r="I1251" s="108"/>
      <c r="J1251" s="269">
        <f>SUM(J1248:J1249)</f>
        <v>4773626.09</v>
      </c>
    </row>
    <row r="1252" spans="1:10" s="7" customFormat="1" ht="33" x14ac:dyDescent="0.25">
      <c r="A1252" s="767">
        <v>26</v>
      </c>
      <c r="B1252" s="769" t="s">
        <v>533</v>
      </c>
      <c r="C1252" s="109" t="s">
        <v>500</v>
      </c>
      <c r="D1252" s="48">
        <v>4431056.9400000004</v>
      </c>
      <c r="E1252" s="335" t="s">
        <v>1054</v>
      </c>
      <c r="F1252" s="51" t="s">
        <v>787</v>
      </c>
      <c r="G1252" s="49">
        <v>4209500</v>
      </c>
      <c r="H1252" s="50">
        <v>42719</v>
      </c>
      <c r="I1252" s="50">
        <v>42727</v>
      </c>
      <c r="J1252" s="51">
        <v>3781366.42</v>
      </c>
    </row>
    <row r="1253" spans="1:10" s="7" customFormat="1" ht="29.25" customHeight="1" outlineLevel="1" x14ac:dyDescent="0.25">
      <c r="A1253" s="768"/>
      <c r="B1253" s="764"/>
      <c r="C1253" s="150" t="s">
        <v>37</v>
      </c>
      <c r="D1253" s="151">
        <v>66495.27</v>
      </c>
      <c r="E1253" s="320" t="s">
        <v>1332</v>
      </c>
      <c r="F1253" s="155" t="s">
        <v>1333</v>
      </c>
      <c r="G1253" s="153">
        <v>56351.92</v>
      </c>
      <c r="H1253" s="154">
        <v>42489</v>
      </c>
      <c r="I1253" s="154">
        <v>42489</v>
      </c>
      <c r="J1253" s="155">
        <v>66495.27</v>
      </c>
    </row>
    <row r="1254" spans="1:10" s="7" customFormat="1" ht="17.25" outlineLevel="1" thickBot="1" x14ac:dyDescent="0.3">
      <c r="A1254" s="686" t="s">
        <v>628</v>
      </c>
      <c r="B1254" s="687"/>
      <c r="C1254" s="321"/>
      <c r="D1254" s="222">
        <f>SUM(D1252:D1253)</f>
        <v>4497552.21</v>
      </c>
      <c r="E1254" s="322"/>
      <c r="F1254" s="310"/>
      <c r="G1254" s="323">
        <f>SUM(G1252:G1253)</f>
        <v>4265851.92</v>
      </c>
      <c r="H1254" s="124"/>
      <c r="I1254" s="130"/>
      <c r="J1254" s="222">
        <f t="shared" ref="J1254" si="19">SUM(J1252:J1253)</f>
        <v>3847861.69</v>
      </c>
    </row>
    <row r="1255" spans="1:10" s="7" customFormat="1" ht="33" x14ac:dyDescent="0.25">
      <c r="A1255" s="767">
        <v>27</v>
      </c>
      <c r="B1255" s="769" t="s">
        <v>279</v>
      </c>
      <c r="C1255" s="109" t="s">
        <v>500</v>
      </c>
      <c r="D1255" s="48">
        <v>1847412.8313907001</v>
      </c>
      <c r="E1255" s="335" t="s">
        <v>833</v>
      </c>
      <c r="F1255" s="51" t="s">
        <v>787</v>
      </c>
      <c r="G1255" s="49">
        <v>2329620.1836552848</v>
      </c>
      <c r="H1255" s="50">
        <v>42571</v>
      </c>
      <c r="I1255" s="50">
        <v>42570</v>
      </c>
      <c r="J1255" s="51">
        <v>1825138.84</v>
      </c>
    </row>
    <row r="1256" spans="1:10" s="7" customFormat="1" ht="49.5" outlineLevel="1" x14ac:dyDescent="0.25">
      <c r="A1256" s="768"/>
      <c r="B1256" s="764"/>
      <c r="C1256" s="116" t="s">
        <v>37</v>
      </c>
      <c r="D1256" s="59">
        <v>67222.16</v>
      </c>
      <c r="E1256" s="329" t="s">
        <v>565</v>
      </c>
      <c r="F1256" s="63" t="s">
        <v>564</v>
      </c>
      <c r="G1256" s="61">
        <v>67222.16</v>
      </c>
      <c r="H1256" s="62">
        <v>42419</v>
      </c>
      <c r="I1256" s="62">
        <v>42419</v>
      </c>
      <c r="J1256" s="63">
        <v>67222.16</v>
      </c>
    </row>
    <row r="1257" spans="1:10" s="7" customFormat="1" ht="17.25" outlineLevel="1" thickBot="1" x14ac:dyDescent="0.3">
      <c r="A1257" s="686" t="s">
        <v>628</v>
      </c>
      <c r="B1257" s="687"/>
      <c r="C1257" s="321"/>
      <c r="D1257" s="222">
        <f>SUM(D1255:D1256)</f>
        <v>1914634.9913907</v>
      </c>
      <c r="E1257" s="322"/>
      <c r="F1257" s="310"/>
      <c r="G1257" s="323">
        <f>SUM(G1255:G1256)</f>
        <v>2396842.343655285</v>
      </c>
      <c r="H1257" s="124"/>
      <c r="I1257" s="130"/>
      <c r="J1257" s="222">
        <f>SUM(J1255:J1256)</f>
        <v>1892361</v>
      </c>
    </row>
    <row r="1258" spans="1:10" s="7" customFormat="1" ht="19.5" customHeight="1" outlineLevel="1" thickBot="1" x14ac:dyDescent="0.3">
      <c r="A1258" s="196"/>
      <c r="B1258" s="783" t="s">
        <v>1008</v>
      </c>
      <c r="C1258" s="784"/>
      <c r="D1258" s="197">
        <v>1500000</v>
      </c>
      <c r="E1258" s="198"/>
      <c r="F1258" s="199"/>
      <c r="G1258" s="200"/>
      <c r="H1258" s="201"/>
      <c r="I1258" s="202"/>
      <c r="J1258" s="197"/>
    </row>
    <row r="1259" spans="1:10" s="7" customFormat="1" ht="17.25" outlineLevel="1" thickBot="1" x14ac:dyDescent="0.3">
      <c r="A1259" s="796" t="s">
        <v>629</v>
      </c>
      <c r="B1259" s="797"/>
      <c r="C1259" s="338"/>
      <c r="D1259" s="339">
        <f>D1257+D1254+D1251+D1247+D1243+D1240+D1236+D1232+D1229+D1227+D1225+D1222+D1220+D1218+D1214+D1210+D1206+D1202+D1199+D1196+D1193+D1189+D1186+D1182+D1179+D1176+D1173+D1258</f>
        <v>236682846.81403729</v>
      </c>
      <c r="E1259" s="340"/>
      <c r="F1259" s="341"/>
      <c r="G1259" s="342">
        <f>G1257+G1254+G1251+G1247+G1243+G1240+G1236+G1232+G1229+G1227+G1225+G1222+G1220+G1218+G1214+G1210+G1206+G1202+G1199+G1196+G1193+G1189+G1186+G1182+G1179+G1176+G1173</f>
        <v>217480204.2420581</v>
      </c>
      <c r="H1259" s="318"/>
      <c r="I1259" s="289"/>
      <c r="J1259" s="339">
        <f>J1257+J1254+J1251+J1247+J1243+J1240+J1236+J1232+J1229+J1227+J1225+J1222+J1220+J1218+J1214+J1210+J1206+J1202+J1199+J1196+J1193+J1189+J1186+J1182+J1179+J1176+J1173</f>
        <v>193564059.98000005</v>
      </c>
    </row>
    <row r="1260" spans="1:10" s="7" customFormat="1" ht="22.5" customHeight="1" thickBot="1" x14ac:dyDescent="0.3">
      <c r="A1260" s="803" t="s">
        <v>644</v>
      </c>
      <c r="B1260" s="804"/>
      <c r="C1260" s="804"/>
      <c r="D1260" s="804"/>
      <c r="E1260" s="804"/>
      <c r="F1260" s="804"/>
      <c r="G1260" s="804"/>
      <c r="H1260" s="804"/>
      <c r="I1260" s="804"/>
      <c r="J1260" s="804"/>
    </row>
    <row r="1261" spans="1:10" s="8" customFormat="1" ht="33" x14ac:dyDescent="0.25">
      <c r="A1261" s="767">
        <v>1</v>
      </c>
      <c r="B1261" s="769" t="s">
        <v>288</v>
      </c>
      <c r="C1261" s="109" t="s">
        <v>500</v>
      </c>
      <c r="D1261" s="48">
        <v>4220782.12</v>
      </c>
      <c r="E1261" s="51" t="s">
        <v>1065</v>
      </c>
      <c r="F1261" s="51" t="s">
        <v>800</v>
      </c>
      <c r="G1261" s="49">
        <v>4220782.12</v>
      </c>
      <c r="H1261" s="50">
        <v>42729</v>
      </c>
      <c r="I1261" s="50">
        <v>42726</v>
      </c>
      <c r="J1261" s="51">
        <v>4438941.7</v>
      </c>
    </row>
    <row r="1262" spans="1:10" s="9" customFormat="1" ht="49.5" outlineLevel="1" x14ac:dyDescent="0.25">
      <c r="A1262" s="768"/>
      <c r="B1262" s="764"/>
      <c r="C1262" s="150" t="s">
        <v>37</v>
      </c>
      <c r="D1262" s="151">
        <v>73179.3</v>
      </c>
      <c r="E1262" s="155" t="s">
        <v>569</v>
      </c>
      <c r="F1262" s="152" t="s">
        <v>534</v>
      </c>
      <c r="G1262" s="153">
        <f>62016.36*1.18</f>
        <v>73179.304799999998</v>
      </c>
      <c r="H1262" s="154">
        <v>42459</v>
      </c>
      <c r="I1262" s="154">
        <v>42535</v>
      </c>
      <c r="J1262" s="155">
        <v>73179.3</v>
      </c>
    </row>
    <row r="1263" spans="1:10" s="9" customFormat="1" ht="17.25" outlineLevel="1" thickBot="1" x14ac:dyDescent="0.3">
      <c r="A1263" s="686" t="s">
        <v>628</v>
      </c>
      <c r="B1263" s="687"/>
      <c r="C1263" s="321"/>
      <c r="D1263" s="222">
        <f>SUM(D1261:D1262)</f>
        <v>4293961.42</v>
      </c>
      <c r="E1263" s="310"/>
      <c r="F1263" s="310"/>
      <c r="G1263" s="323">
        <f>SUM(G1261:G1262)</f>
        <v>4293961.4248000002</v>
      </c>
      <c r="H1263" s="124"/>
      <c r="I1263" s="130"/>
      <c r="J1263" s="222">
        <f t="shared" ref="J1263" si="20">SUM(J1261:J1262)</f>
        <v>4512121</v>
      </c>
    </row>
    <row r="1264" spans="1:10" s="8" customFormat="1" ht="31.5" customHeight="1" x14ac:dyDescent="0.25">
      <c r="A1264" s="767">
        <v>2</v>
      </c>
      <c r="B1264" s="769" t="s">
        <v>289</v>
      </c>
      <c r="C1264" s="109" t="s">
        <v>500</v>
      </c>
      <c r="D1264" s="48">
        <v>3757608.52</v>
      </c>
      <c r="E1264" s="51" t="s">
        <v>914</v>
      </c>
      <c r="F1264" s="51" t="s">
        <v>800</v>
      </c>
      <c r="G1264" s="49">
        <v>3779760.64</v>
      </c>
      <c r="H1264" s="50">
        <v>42668</v>
      </c>
      <c r="I1264" s="50">
        <v>42668</v>
      </c>
      <c r="J1264" s="219">
        <v>3757608.52</v>
      </c>
    </row>
    <row r="1265" spans="1:10" s="9" customFormat="1" ht="49.5" outlineLevel="1" x14ac:dyDescent="0.25">
      <c r="A1265" s="768"/>
      <c r="B1265" s="764"/>
      <c r="C1265" s="150" t="s">
        <v>37</v>
      </c>
      <c r="D1265" s="151">
        <v>76957.570000000007</v>
      </c>
      <c r="E1265" s="155" t="s">
        <v>569</v>
      </c>
      <c r="F1265" s="152" t="s">
        <v>534</v>
      </c>
      <c r="G1265" s="153">
        <f>65218.28*1.18</f>
        <v>76957.570399999997</v>
      </c>
      <c r="H1265" s="154">
        <v>42459</v>
      </c>
      <c r="I1265" s="154">
        <v>42535</v>
      </c>
      <c r="J1265" s="155">
        <v>76957.570000000007</v>
      </c>
    </row>
    <row r="1266" spans="1:10" s="9" customFormat="1" ht="17.25" outlineLevel="1" thickBot="1" x14ac:dyDescent="0.3">
      <c r="A1266" s="686" t="s">
        <v>628</v>
      </c>
      <c r="B1266" s="687"/>
      <c r="C1266" s="321"/>
      <c r="D1266" s="222">
        <f>SUM(D1264:D1265)</f>
        <v>3834566.09</v>
      </c>
      <c r="E1266" s="310"/>
      <c r="F1266" s="310"/>
      <c r="G1266" s="323">
        <f>SUM(G1264:G1265)</f>
        <v>3856718.2104000002</v>
      </c>
      <c r="H1266" s="124"/>
      <c r="I1266" s="130"/>
      <c r="J1266" s="222">
        <f t="shared" ref="J1266" si="21">SUM(J1264:J1265)</f>
        <v>3834566.09</v>
      </c>
    </row>
    <row r="1267" spans="1:10" s="8" customFormat="1" ht="31.5" customHeight="1" x14ac:dyDescent="0.25">
      <c r="A1267" s="767">
        <v>3</v>
      </c>
      <c r="B1267" s="777" t="s">
        <v>280</v>
      </c>
      <c r="C1267" s="48" t="s">
        <v>34</v>
      </c>
      <c r="D1267" s="48">
        <v>13519770.49</v>
      </c>
      <c r="E1267" s="740" t="s">
        <v>799</v>
      </c>
      <c r="F1267" s="690" t="s">
        <v>800</v>
      </c>
      <c r="G1267" s="49">
        <v>12299500.470000001</v>
      </c>
      <c r="H1267" s="675">
        <v>42565</v>
      </c>
      <c r="I1267" s="675">
        <v>42571</v>
      </c>
      <c r="J1267" s="51">
        <v>13519770.49</v>
      </c>
    </row>
    <row r="1268" spans="1:10" s="9" customFormat="1" ht="16.5" outlineLevel="1" x14ac:dyDescent="0.25">
      <c r="A1268" s="768"/>
      <c r="B1268" s="775"/>
      <c r="C1268" s="73" t="s">
        <v>35</v>
      </c>
      <c r="D1268" s="73">
        <v>2018430.77</v>
      </c>
      <c r="E1268" s="710"/>
      <c r="F1268" s="681"/>
      <c r="G1268" s="74">
        <v>2064284.73</v>
      </c>
      <c r="H1268" s="676"/>
      <c r="I1268" s="678"/>
      <c r="J1268" s="52">
        <v>2018430.77</v>
      </c>
    </row>
    <row r="1269" spans="1:10" s="9" customFormat="1" ht="16.5" outlineLevel="1" x14ac:dyDescent="0.25">
      <c r="A1269" s="768"/>
      <c r="B1269" s="775"/>
      <c r="C1269" s="73" t="s">
        <v>36</v>
      </c>
      <c r="D1269" s="73">
        <v>1853527.36</v>
      </c>
      <c r="E1269" s="711"/>
      <c r="F1269" s="682"/>
      <c r="G1269" s="74">
        <v>1853531.77</v>
      </c>
      <c r="H1269" s="677"/>
      <c r="I1269" s="679"/>
      <c r="J1269" s="52">
        <v>1853527.36</v>
      </c>
    </row>
    <row r="1270" spans="1:10" s="9" customFormat="1" ht="49.5" outlineLevel="1" x14ac:dyDescent="0.25">
      <c r="A1270" s="768"/>
      <c r="B1270" s="775"/>
      <c r="C1270" s="116" t="s">
        <v>37</v>
      </c>
      <c r="D1270" s="59">
        <f>264278.71*1.18</f>
        <v>311848.87780000002</v>
      </c>
      <c r="E1270" s="343" t="s">
        <v>570</v>
      </c>
      <c r="F1270" s="60" t="s">
        <v>534</v>
      </c>
      <c r="G1270" s="344">
        <f>410961.86-G1272</f>
        <v>311848.88099999999</v>
      </c>
      <c r="H1270" s="345">
        <v>42388</v>
      </c>
      <c r="I1270" s="62">
        <v>42408</v>
      </c>
      <c r="J1270" s="63">
        <v>311848.88</v>
      </c>
    </row>
    <row r="1271" spans="1:10" s="9" customFormat="1" ht="33" outlineLevel="1" x14ac:dyDescent="0.25">
      <c r="A1271" s="768"/>
      <c r="B1271" s="775"/>
      <c r="C1271" s="73" t="s">
        <v>500</v>
      </c>
      <c r="D1271" s="73">
        <v>13055296.98</v>
      </c>
      <c r="E1271" s="52" t="s">
        <v>1065</v>
      </c>
      <c r="F1271" s="107" t="s">
        <v>800</v>
      </c>
      <c r="G1271" s="73">
        <v>13055296.98</v>
      </c>
      <c r="H1271" s="75">
        <v>42729</v>
      </c>
      <c r="I1271" s="75">
        <v>42726</v>
      </c>
      <c r="J1271" s="52">
        <v>12799311.32</v>
      </c>
    </row>
    <row r="1272" spans="1:10" s="9" customFormat="1" ht="49.5" outlineLevel="1" x14ac:dyDescent="0.25">
      <c r="A1272" s="768"/>
      <c r="B1272" s="775"/>
      <c r="C1272" s="150" t="s">
        <v>37</v>
      </c>
      <c r="D1272" s="151">
        <f>83994.05*1.18</f>
        <v>99112.978999999992</v>
      </c>
      <c r="E1272" s="155" t="s">
        <v>569</v>
      </c>
      <c r="F1272" s="152" t="s">
        <v>534</v>
      </c>
      <c r="G1272" s="153">
        <f>83994.05*1.18</f>
        <v>99112.978999999992</v>
      </c>
      <c r="H1272" s="154">
        <v>42459</v>
      </c>
      <c r="I1272" s="154">
        <v>42535</v>
      </c>
      <c r="J1272" s="155">
        <v>99112.98</v>
      </c>
    </row>
    <row r="1273" spans="1:10" s="9" customFormat="1" ht="17.25" outlineLevel="1" thickBot="1" x14ac:dyDescent="0.3">
      <c r="A1273" s="724" t="s">
        <v>628</v>
      </c>
      <c r="B1273" s="725"/>
      <c r="C1273" s="272"/>
      <c r="D1273" s="269">
        <f>SUM(D1267:D1272)</f>
        <v>30857987.456799999</v>
      </c>
      <c r="E1273" s="125"/>
      <c r="F1273" s="125"/>
      <c r="G1273" s="333">
        <f>SUM(G1267:G1272)</f>
        <v>29683575.809999999</v>
      </c>
      <c r="H1273" s="123"/>
      <c r="I1273" s="108"/>
      <c r="J1273" s="269">
        <f>SUM(J1267:J1272)</f>
        <v>30602001.800000001</v>
      </c>
    </row>
    <row r="1274" spans="1:10" s="8" customFormat="1" ht="33" x14ac:dyDescent="0.25">
      <c r="A1274" s="767">
        <v>4</v>
      </c>
      <c r="B1274" s="769" t="s">
        <v>566</v>
      </c>
      <c r="C1274" s="109" t="s">
        <v>38</v>
      </c>
      <c r="D1274" s="48">
        <v>1090229.1399999999</v>
      </c>
      <c r="E1274" s="51" t="s">
        <v>914</v>
      </c>
      <c r="F1274" s="227" t="s">
        <v>800</v>
      </c>
      <c r="G1274" s="49">
        <v>1230893.3999999999</v>
      </c>
      <c r="H1274" s="50">
        <v>42625</v>
      </c>
      <c r="I1274" s="50">
        <v>42668</v>
      </c>
      <c r="J1274" s="51">
        <v>1090229.1399999999</v>
      </c>
    </row>
    <row r="1275" spans="1:10" s="9" customFormat="1" ht="33" outlineLevel="1" x14ac:dyDescent="0.25">
      <c r="A1275" s="768"/>
      <c r="B1275" s="764"/>
      <c r="C1275" s="110" t="s">
        <v>500</v>
      </c>
      <c r="D1275" s="73">
        <v>6185280.3399999999</v>
      </c>
      <c r="E1275" s="107" t="s">
        <v>914</v>
      </c>
      <c r="F1275" s="52" t="s">
        <v>800</v>
      </c>
      <c r="G1275" s="74">
        <v>6311424.7000000002</v>
      </c>
      <c r="H1275" s="75">
        <v>42625</v>
      </c>
      <c r="I1275" s="75">
        <v>42668</v>
      </c>
      <c r="J1275" s="52">
        <v>6185280.3399999999</v>
      </c>
    </row>
    <row r="1276" spans="1:10" s="9" customFormat="1" ht="49.5" outlineLevel="1" x14ac:dyDescent="0.25">
      <c r="A1276" s="768"/>
      <c r="B1276" s="764"/>
      <c r="C1276" s="150" t="s">
        <v>37</v>
      </c>
      <c r="D1276" s="151">
        <v>91241.23</v>
      </c>
      <c r="E1276" s="155" t="s">
        <v>569</v>
      </c>
      <c r="F1276" s="152" t="s">
        <v>534</v>
      </c>
      <c r="G1276" s="153">
        <f>77323.08*1.18</f>
        <v>91241.234400000001</v>
      </c>
      <c r="H1276" s="154">
        <v>42459</v>
      </c>
      <c r="I1276" s="154">
        <v>42535</v>
      </c>
      <c r="J1276" s="155">
        <v>91241.23</v>
      </c>
    </row>
    <row r="1277" spans="1:10" s="9" customFormat="1" ht="17.25" outlineLevel="1" thickBot="1" x14ac:dyDescent="0.3">
      <c r="A1277" s="686" t="s">
        <v>628</v>
      </c>
      <c r="B1277" s="687"/>
      <c r="C1277" s="321"/>
      <c r="D1277" s="222">
        <f>SUM(D1274:D1276)</f>
        <v>7366750.71</v>
      </c>
      <c r="E1277" s="310"/>
      <c r="F1277" s="310"/>
      <c r="G1277" s="323">
        <f>SUM(G1274:G1276)</f>
        <v>7633559.3344000001</v>
      </c>
      <c r="H1277" s="124"/>
      <c r="I1277" s="130"/>
      <c r="J1277" s="222">
        <f t="shared" ref="J1277" si="22">SUM(J1274:J1276)</f>
        <v>7366750.71</v>
      </c>
    </row>
    <row r="1278" spans="1:10" s="8" customFormat="1" ht="33" x14ac:dyDescent="0.25">
      <c r="A1278" s="767">
        <v>5</v>
      </c>
      <c r="B1278" s="769" t="s">
        <v>291</v>
      </c>
      <c r="C1278" s="109" t="s">
        <v>500</v>
      </c>
      <c r="D1278" s="48">
        <v>1914980.7</v>
      </c>
      <c r="E1278" s="51" t="s">
        <v>1024</v>
      </c>
      <c r="F1278" s="51" t="s">
        <v>1025</v>
      </c>
      <c r="G1278" s="49">
        <v>1914980.7</v>
      </c>
      <c r="H1278" s="50">
        <v>42729</v>
      </c>
      <c r="I1278" s="50">
        <v>42726</v>
      </c>
      <c r="J1278" s="51">
        <v>1984762.36</v>
      </c>
    </row>
    <row r="1279" spans="1:10" s="9" customFormat="1" ht="49.5" outlineLevel="1" x14ac:dyDescent="0.25">
      <c r="A1279" s="768"/>
      <c r="B1279" s="764"/>
      <c r="C1279" s="150" t="s">
        <v>37</v>
      </c>
      <c r="D1279" s="151">
        <v>67846.87</v>
      </c>
      <c r="E1279" s="155" t="s">
        <v>569</v>
      </c>
      <c r="F1279" s="152" t="s">
        <v>534</v>
      </c>
      <c r="G1279" s="153">
        <f>57497.35*1.18</f>
        <v>67846.872999999992</v>
      </c>
      <c r="H1279" s="154">
        <v>42459</v>
      </c>
      <c r="I1279" s="154">
        <v>42535</v>
      </c>
      <c r="J1279" s="155">
        <v>67846.87</v>
      </c>
    </row>
    <row r="1280" spans="1:10" s="9" customFormat="1" ht="17.25" outlineLevel="1" thickBot="1" x14ac:dyDescent="0.3">
      <c r="A1280" s="686" t="s">
        <v>628</v>
      </c>
      <c r="B1280" s="687"/>
      <c r="C1280" s="321"/>
      <c r="D1280" s="222">
        <f>SUM(D1278:D1279)</f>
        <v>1982827.5699999998</v>
      </c>
      <c r="E1280" s="310"/>
      <c r="F1280" s="310"/>
      <c r="G1280" s="323">
        <f>SUM(G1278:G1279)</f>
        <v>1982827.5729999999</v>
      </c>
      <c r="H1280" s="124"/>
      <c r="I1280" s="130"/>
      <c r="J1280" s="222">
        <f t="shared" ref="J1280" si="23">SUM(J1278:J1279)</f>
        <v>2052609.23</v>
      </c>
    </row>
    <row r="1281" spans="1:10" s="8" customFormat="1" ht="33" x14ac:dyDescent="0.25">
      <c r="A1281" s="767">
        <v>6</v>
      </c>
      <c r="B1281" s="769" t="s">
        <v>290</v>
      </c>
      <c r="C1281" s="109" t="s">
        <v>500</v>
      </c>
      <c r="D1281" s="48">
        <v>7422941.04</v>
      </c>
      <c r="E1281" s="51" t="s">
        <v>914</v>
      </c>
      <c r="F1281" s="51" t="s">
        <v>800</v>
      </c>
      <c r="G1281" s="49">
        <v>7546890.5999999996</v>
      </c>
      <c r="H1281" s="50">
        <v>42625</v>
      </c>
      <c r="I1281" s="50">
        <v>42668</v>
      </c>
      <c r="J1281" s="51">
        <v>7422941.04</v>
      </c>
    </row>
    <row r="1282" spans="1:10" s="9" customFormat="1" ht="49.5" outlineLevel="1" x14ac:dyDescent="0.25">
      <c r="A1282" s="768"/>
      <c r="B1282" s="764"/>
      <c r="C1282" s="150" t="s">
        <v>37</v>
      </c>
      <c r="D1282" s="151">
        <v>97436.28</v>
      </c>
      <c r="E1282" s="155" t="s">
        <v>569</v>
      </c>
      <c r="F1282" s="152" t="s">
        <v>534</v>
      </c>
      <c r="G1282" s="153">
        <f>82573.12*1.18</f>
        <v>97436.281599999988</v>
      </c>
      <c r="H1282" s="154">
        <v>42459</v>
      </c>
      <c r="I1282" s="154">
        <v>42535</v>
      </c>
      <c r="J1282" s="155">
        <v>97436.28</v>
      </c>
    </row>
    <row r="1283" spans="1:10" s="9" customFormat="1" ht="17.25" outlineLevel="1" thickBot="1" x14ac:dyDescent="0.3">
      <c r="A1283" s="686" t="s">
        <v>628</v>
      </c>
      <c r="B1283" s="687"/>
      <c r="C1283" s="321"/>
      <c r="D1283" s="222">
        <f>SUM(D1281:D1282)</f>
        <v>7520377.3200000003</v>
      </c>
      <c r="E1283" s="310"/>
      <c r="F1283" s="310"/>
      <c r="G1283" s="323">
        <f>SUM(G1281:G1282)</f>
        <v>7644326.8816</v>
      </c>
      <c r="H1283" s="124"/>
      <c r="I1283" s="130"/>
      <c r="J1283" s="222">
        <f t="shared" ref="J1283" si="24">SUM(J1281:J1282)</f>
        <v>7520377.3200000003</v>
      </c>
    </row>
    <row r="1284" spans="1:10" s="8" customFormat="1" ht="33" x14ac:dyDescent="0.25">
      <c r="A1284" s="767">
        <v>7</v>
      </c>
      <c r="B1284" s="769" t="s">
        <v>292</v>
      </c>
      <c r="C1284" s="109" t="s">
        <v>500</v>
      </c>
      <c r="D1284" s="48">
        <v>3769992.62</v>
      </c>
      <c r="E1284" s="52" t="s">
        <v>1065</v>
      </c>
      <c r="F1284" s="107" t="s">
        <v>800</v>
      </c>
      <c r="G1284" s="73">
        <v>3769992.62</v>
      </c>
      <c r="H1284" s="75">
        <v>42729</v>
      </c>
      <c r="I1284" s="50">
        <v>42726</v>
      </c>
      <c r="J1284" s="51">
        <v>3910368.96</v>
      </c>
    </row>
    <row r="1285" spans="1:10" s="9" customFormat="1" ht="49.5" outlineLevel="1" x14ac:dyDescent="0.25">
      <c r="A1285" s="768"/>
      <c r="B1285" s="764"/>
      <c r="C1285" s="150" t="s">
        <v>37</v>
      </c>
      <c r="D1285" s="151">
        <v>79409.88</v>
      </c>
      <c r="E1285" s="155" t="s">
        <v>569</v>
      </c>
      <c r="F1285" s="152" t="s">
        <v>534</v>
      </c>
      <c r="G1285" s="153">
        <f>67296.51*1.18</f>
        <v>79409.881799999988</v>
      </c>
      <c r="H1285" s="154">
        <v>42459</v>
      </c>
      <c r="I1285" s="154">
        <v>42535</v>
      </c>
      <c r="J1285" s="155">
        <v>79409.88</v>
      </c>
    </row>
    <row r="1286" spans="1:10" s="9" customFormat="1" ht="17.25" outlineLevel="1" thickBot="1" x14ac:dyDescent="0.3">
      <c r="A1286" s="686" t="s">
        <v>628</v>
      </c>
      <c r="B1286" s="687"/>
      <c r="C1286" s="321"/>
      <c r="D1286" s="222">
        <f>SUM(D1284:D1285)</f>
        <v>3849402.5</v>
      </c>
      <c r="E1286" s="310"/>
      <c r="F1286" s="310"/>
      <c r="G1286" s="323">
        <f>SUM(G1284:G1285)</f>
        <v>3849402.5018000002</v>
      </c>
      <c r="H1286" s="124"/>
      <c r="I1286" s="130"/>
      <c r="J1286" s="222">
        <f t="shared" ref="J1286" si="25">SUM(J1284:J1285)</f>
        <v>3989778.84</v>
      </c>
    </row>
    <row r="1287" spans="1:10" s="8" customFormat="1" ht="35.25" customHeight="1" x14ac:dyDescent="0.25">
      <c r="A1287" s="767">
        <v>8</v>
      </c>
      <c r="B1287" s="777" t="s">
        <v>281</v>
      </c>
      <c r="C1287" s="109" t="s">
        <v>500</v>
      </c>
      <c r="D1287" s="48">
        <v>8324342.75</v>
      </c>
      <c r="E1287" s="51" t="s">
        <v>799</v>
      </c>
      <c r="F1287" s="51" t="s">
        <v>800</v>
      </c>
      <c r="G1287" s="49">
        <v>7914218.4100000001</v>
      </c>
      <c r="H1287" s="50">
        <v>42565</v>
      </c>
      <c r="I1287" s="50">
        <v>42571</v>
      </c>
      <c r="J1287" s="51">
        <v>8324342.75</v>
      </c>
    </row>
    <row r="1288" spans="1:10" s="9" customFormat="1" ht="49.5" outlineLevel="1" x14ac:dyDescent="0.25">
      <c r="A1288" s="768"/>
      <c r="B1288" s="775"/>
      <c r="C1288" s="116" t="s">
        <v>37</v>
      </c>
      <c r="D1288" s="59">
        <v>105328.52</v>
      </c>
      <c r="E1288" s="63" t="s">
        <v>570</v>
      </c>
      <c r="F1288" s="60" t="s">
        <v>534</v>
      </c>
      <c r="G1288" s="61">
        <f>89261.46*1.18</f>
        <v>105328.52280000001</v>
      </c>
      <c r="H1288" s="62">
        <v>42388</v>
      </c>
      <c r="I1288" s="62">
        <v>42408</v>
      </c>
      <c r="J1288" s="63">
        <v>105328.52000000002</v>
      </c>
    </row>
    <row r="1289" spans="1:10" s="9" customFormat="1" ht="17.25" outlineLevel="1" thickBot="1" x14ac:dyDescent="0.3">
      <c r="A1289" s="724" t="s">
        <v>628</v>
      </c>
      <c r="B1289" s="725"/>
      <c r="C1289" s="284"/>
      <c r="D1289" s="222">
        <f>SUM(D1287:D1288)</f>
        <v>8429671.2699999996</v>
      </c>
      <c r="E1289" s="125"/>
      <c r="F1289" s="125"/>
      <c r="G1289" s="323">
        <f>SUM(G1287:G1288)</f>
        <v>8019546.9328000005</v>
      </c>
      <c r="H1289" s="123"/>
      <c r="I1289" s="108"/>
      <c r="J1289" s="222">
        <f>SUM(J1287:J1288)</f>
        <v>8429671.2699999996</v>
      </c>
    </row>
    <row r="1290" spans="1:10" s="8" customFormat="1" ht="16.5" outlineLevel="1" x14ac:dyDescent="0.25">
      <c r="A1290" s="767">
        <v>9</v>
      </c>
      <c r="B1290" s="777" t="s">
        <v>282</v>
      </c>
      <c r="C1290" s="48" t="s">
        <v>34</v>
      </c>
      <c r="D1290" s="48">
        <v>25338742.100000001</v>
      </c>
      <c r="E1290" s="740" t="s">
        <v>1154</v>
      </c>
      <c r="F1290" s="740" t="s">
        <v>697</v>
      </c>
      <c r="G1290" s="49">
        <v>25298499.280000001</v>
      </c>
      <c r="H1290" s="505">
        <v>42786</v>
      </c>
      <c r="I1290" s="505">
        <v>42815</v>
      </c>
      <c r="J1290" s="51">
        <v>25765903.289999999</v>
      </c>
    </row>
    <row r="1291" spans="1:10" s="9" customFormat="1" ht="16.5" outlineLevel="1" x14ac:dyDescent="0.25">
      <c r="A1291" s="768"/>
      <c r="B1291" s="775"/>
      <c r="C1291" s="73" t="s">
        <v>35</v>
      </c>
      <c r="D1291" s="73">
        <v>3883974.72</v>
      </c>
      <c r="E1291" s="710"/>
      <c r="F1291" s="710"/>
      <c r="G1291" s="74">
        <v>3883863.28</v>
      </c>
      <c r="H1291" s="459">
        <v>42786</v>
      </c>
      <c r="I1291" s="460">
        <v>42781</v>
      </c>
      <c r="J1291" s="461">
        <v>3766226.37</v>
      </c>
    </row>
    <row r="1292" spans="1:10" s="9" customFormat="1" ht="16.5" outlineLevel="1" x14ac:dyDescent="0.25">
      <c r="A1292" s="768"/>
      <c r="B1292" s="775"/>
      <c r="C1292" s="73" t="s">
        <v>36</v>
      </c>
      <c r="D1292" s="73">
        <v>2227255.9</v>
      </c>
      <c r="E1292" s="711"/>
      <c r="F1292" s="711"/>
      <c r="G1292" s="74">
        <v>2227191.9900000002</v>
      </c>
      <c r="H1292" s="460">
        <v>42786</v>
      </c>
      <c r="I1292" s="460">
        <v>42781</v>
      </c>
      <c r="J1292" s="461">
        <v>2152051.7599999998</v>
      </c>
    </row>
    <row r="1293" spans="1:10" s="9" customFormat="1" ht="49.5" outlineLevel="1" x14ac:dyDescent="0.25">
      <c r="A1293" s="768"/>
      <c r="B1293" s="775"/>
      <c r="C1293" s="116" t="s">
        <v>37</v>
      </c>
      <c r="D1293" s="59">
        <v>367537.89</v>
      </c>
      <c r="E1293" s="63" t="s">
        <v>570</v>
      </c>
      <c r="F1293" s="60" t="s">
        <v>534</v>
      </c>
      <c r="G1293" s="61">
        <f>311472.79*1.18</f>
        <v>367537.89219999994</v>
      </c>
      <c r="H1293" s="62">
        <v>42388</v>
      </c>
      <c r="I1293" s="62">
        <v>42408</v>
      </c>
      <c r="J1293" s="63">
        <v>367537.89</v>
      </c>
    </row>
    <row r="1294" spans="1:10" s="9" customFormat="1" ht="17.25" outlineLevel="1" thickBot="1" x14ac:dyDescent="0.3">
      <c r="A1294" s="686" t="s">
        <v>628</v>
      </c>
      <c r="B1294" s="687"/>
      <c r="C1294" s="223"/>
      <c r="D1294" s="222">
        <f>SUM(D1290:D1293)</f>
        <v>31817510.609999999</v>
      </c>
      <c r="E1294" s="310"/>
      <c r="F1294" s="310"/>
      <c r="G1294" s="323">
        <f>SUM(G1290:G1293)</f>
        <v>31777092.442200005</v>
      </c>
      <c r="H1294" s="124"/>
      <c r="I1294" s="130"/>
      <c r="J1294" s="222">
        <f>SUM(J1290:J1293)</f>
        <v>32051719.310000002</v>
      </c>
    </row>
    <row r="1295" spans="1:10" s="8" customFormat="1" ht="33" customHeight="1" outlineLevel="1" x14ac:dyDescent="0.25">
      <c r="A1295" s="767">
        <v>10</v>
      </c>
      <c r="B1295" s="777" t="s">
        <v>283</v>
      </c>
      <c r="C1295" s="109" t="s">
        <v>500</v>
      </c>
      <c r="D1295" s="48">
        <v>7148227.2199999997</v>
      </c>
      <c r="E1295" s="51" t="s">
        <v>799</v>
      </c>
      <c r="F1295" s="51" t="s">
        <v>800</v>
      </c>
      <c r="G1295" s="49">
        <v>7070245.4900000002</v>
      </c>
      <c r="H1295" s="50">
        <v>42565</v>
      </c>
      <c r="I1295" s="50">
        <v>42571</v>
      </c>
      <c r="J1295" s="51">
        <v>7148227.2199999988</v>
      </c>
    </row>
    <row r="1296" spans="1:10" s="9" customFormat="1" ht="49.5" outlineLevel="1" x14ac:dyDescent="0.25">
      <c r="A1296" s="768"/>
      <c r="B1296" s="775"/>
      <c r="C1296" s="116" t="s">
        <v>37</v>
      </c>
      <c r="D1296" s="59">
        <v>99027.87</v>
      </c>
      <c r="E1296" s="63" t="s">
        <v>570</v>
      </c>
      <c r="F1296" s="60" t="s">
        <v>534</v>
      </c>
      <c r="G1296" s="61">
        <f>83921.92*1.18</f>
        <v>99027.86559999999</v>
      </c>
      <c r="H1296" s="62">
        <v>42388</v>
      </c>
      <c r="I1296" s="62">
        <v>42408</v>
      </c>
      <c r="J1296" s="63">
        <v>99027.87</v>
      </c>
    </row>
    <row r="1297" spans="1:10" s="9" customFormat="1" ht="17.25" outlineLevel="1" thickBot="1" x14ac:dyDescent="0.3">
      <c r="A1297" s="686" t="s">
        <v>628</v>
      </c>
      <c r="B1297" s="687"/>
      <c r="C1297" s="321"/>
      <c r="D1297" s="222">
        <f>SUM(D1295:D1296)</f>
        <v>7247255.0899999999</v>
      </c>
      <c r="E1297" s="310"/>
      <c r="F1297" s="310"/>
      <c r="G1297" s="323">
        <f>SUM(G1295:G1296)</f>
        <v>7169273.3556000004</v>
      </c>
      <c r="H1297" s="124"/>
      <c r="I1297" s="130"/>
      <c r="J1297" s="222">
        <f>SUM(J1295:J1296)</f>
        <v>7247255.0899999989</v>
      </c>
    </row>
    <row r="1298" spans="1:10" s="8" customFormat="1" ht="30" customHeight="1" outlineLevel="1" x14ac:dyDescent="0.25">
      <c r="A1298" s="767">
        <v>11</v>
      </c>
      <c r="B1298" s="777" t="s">
        <v>284</v>
      </c>
      <c r="C1298" s="48" t="s">
        <v>38</v>
      </c>
      <c r="D1298" s="48">
        <v>534099.79</v>
      </c>
      <c r="E1298" s="51" t="s">
        <v>799</v>
      </c>
      <c r="F1298" s="51" t="s">
        <v>800</v>
      </c>
      <c r="G1298" s="49">
        <v>544837.79</v>
      </c>
      <c r="H1298" s="50">
        <v>42550</v>
      </c>
      <c r="I1298" s="50">
        <v>42571</v>
      </c>
      <c r="J1298" s="51">
        <v>534099.79</v>
      </c>
    </row>
    <row r="1299" spans="1:10" s="9" customFormat="1" ht="33" outlineLevel="1" x14ac:dyDescent="0.25">
      <c r="A1299" s="768"/>
      <c r="B1299" s="775"/>
      <c r="C1299" s="53" t="s">
        <v>501</v>
      </c>
      <c r="D1299" s="53">
        <v>4285000</v>
      </c>
      <c r="E1299" s="57" t="s">
        <v>1052</v>
      </c>
      <c r="F1299" s="194" t="s">
        <v>1053</v>
      </c>
      <c r="G1299" s="54">
        <v>2335493.9</v>
      </c>
      <c r="H1299" s="55">
        <v>42916</v>
      </c>
      <c r="I1299" s="56"/>
      <c r="J1299" s="57"/>
    </row>
    <row r="1300" spans="1:10" s="9" customFormat="1" ht="17.25" outlineLevel="1" thickBot="1" x14ac:dyDescent="0.3">
      <c r="A1300" s="686" t="s">
        <v>628</v>
      </c>
      <c r="B1300" s="687"/>
      <c r="C1300" s="87"/>
      <c r="D1300" s="64">
        <f>SUM(D1298:D1299)</f>
        <v>4819099.79</v>
      </c>
      <c r="E1300" s="310"/>
      <c r="F1300" s="310"/>
      <c r="G1300" s="66">
        <f>SUM(G1298:G1299)</f>
        <v>2880331.69</v>
      </c>
      <c r="H1300" s="124"/>
      <c r="I1300" s="130"/>
      <c r="J1300" s="64">
        <f>SUM(J1298:J1299)</f>
        <v>534099.79</v>
      </c>
    </row>
    <row r="1301" spans="1:10" s="8" customFormat="1" ht="33" outlineLevel="1" x14ac:dyDescent="0.25">
      <c r="A1301" s="767">
        <v>12</v>
      </c>
      <c r="B1301" s="777" t="s">
        <v>285</v>
      </c>
      <c r="C1301" s="48" t="s">
        <v>38</v>
      </c>
      <c r="D1301" s="48">
        <v>534099.79</v>
      </c>
      <c r="E1301" s="51" t="s">
        <v>799</v>
      </c>
      <c r="F1301" s="51" t="s">
        <v>800</v>
      </c>
      <c r="G1301" s="49">
        <v>544837.79</v>
      </c>
      <c r="H1301" s="50">
        <v>42550</v>
      </c>
      <c r="I1301" s="50">
        <v>42571</v>
      </c>
      <c r="J1301" s="51">
        <v>534099.79</v>
      </c>
    </row>
    <row r="1302" spans="1:10" s="9" customFormat="1" ht="33" outlineLevel="1" x14ac:dyDescent="0.25">
      <c r="A1302" s="768"/>
      <c r="B1302" s="775"/>
      <c r="C1302" s="53" t="s">
        <v>501</v>
      </c>
      <c r="D1302" s="53">
        <v>5310000</v>
      </c>
      <c r="E1302" s="57" t="s">
        <v>1052</v>
      </c>
      <c r="F1302" s="194" t="s">
        <v>1053</v>
      </c>
      <c r="G1302" s="54">
        <v>2064506.09</v>
      </c>
      <c r="H1302" s="55">
        <v>42916</v>
      </c>
      <c r="I1302" s="56"/>
      <c r="J1302" s="57"/>
    </row>
    <row r="1303" spans="1:10" s="9" customFormat="1" ht="17.25" outlineLevel="1" thickBot="1" x14ac:dyDescent="0.3">
      <c r="A1303" s="724" t="s">
        <v>628</v>
      </c>
      <c r="B1303" s="725"/>
      <c r="C1303" s="89"/>
      <c r="D1303" s="64">
        <f>SUM(D1301:D1302)</f>
        <v>5844099.79</v>
      </c>
      <c r="E1303" s="125"/>
      <c r="F1303" s="125"/>
      <c r="G1303" s="66">
        <f>SUM(G1301:G1302)</f>
        <v>2609343.88</v>
      </c>
      <c r="H1303" s="123"/>
      <c r="I1303" s="108"/>
      <c r="J1303" s="64">
        <f>SUM(J1301:J1302)</f>
        <v>534099.79</v>
      </c>
    </row>
    <row r="1304" spans="1:10" s="8" customFormat="1" ht="33" x14ac:dyDescent="0.25">
      <c r="A1304" s="336">
        <v>13</v>
      </c>
      <c r="B1304" s="183" t="s">
        <v>286</v>
      </c>
      <c r="C1304" s="48" t="s">
        <v>38</v>
      </c>
      <c r="D1304" s="48">
        <v>534099.79</v>
      </c>
      <c r="E1304" s="51" t="s">
        <v>799</v>
      </c>
      <c r="F1304" s="51" t="s">
        <v>800</v>
      </c>
      <c r="G1304" s="49">
        <v>544837.79</v>
      </c>
      <c r="H1304" s="50">
        <v>42550</v>
      </c>
      <c r="I1304" s="50">
        <v>42571</v>
      </c>
      <c r="J1304" s="51">
        <v>534099.79</v>
      </c>
    </row>
    <row r="1305" spans="1:10" s="9" customFormat="1" ht="17.25" outlineLevel="1" thickBot="1" x14ac:dyDescent="0.3">
      <c r="A1305" s="686" t="s">
        <v>628</v>
      </c>
      <c r="B1305" s="687"/>
      <c r="C1305" s="223"/>
      <c r="D1305" s="222">
        <f>SUM(D1304:D1304)</f>
        <v>534099.79</v>
      </c>
      <c r="E1305" s="310"/>
      <c r="F1305" s="310"/>
      <c r="G1305" s="323">
        <f>SUM(G1304:G1304)</f>
        <v>544837.79</v>
      </c>
      <c r="H1305" s="124"/>
      <c r="I1305" s="130"/>
      <c r="J1305" s="222">
        <f>SUM(J1304:J1304)</f>
        <v>534099.79</v>
      </c>
    </row>
    <row r="1306" spans="1:10" s="8" customFormat="1" ht="33" x14ac:dyDescent="0.25">
      <c r="A1306" s="767">
        <v>14</v>
      </c>
      <c r="B1306" s="769" t="s">
        <v>293</v>
      </c>
      <c r="C1306" s="109" t="s">
        <v>500</v>
      </c>
      <c r="D1306" s="48">
        <v>4228317.5999999996</v>
      </c>
      <c r="E1306" s="52" t="s">
        <v>1065</v>
      </c>
      <c r="F1306" s="107" t="s">
        <v>800</v>
      </c>
      <c r="G1306" s="73">
        <v>4228317.5999999996</v>
      </c>
      <c r="H1306" s="75">
        <v>42729</v>
      </c>
      <c r="I1306" s="50">
        <v>42726</v>
      </c>
      <c r="J1306" s="51">
        <v>4145409.62</v>
      </c>
    </row>
    <row r="1307" spans="1:10" s="9" customFormat="1" ht="49.5" outlineLevel="1" x14ac:dyDescent="0.25">
      <c r="A1307" s="768"/>
      <c r="B1307" s="764"/>
      <c r="C1307" s="150" t="s">
        <v>37</v>
      </c>
      <c r="D1307" s="151">
        <v>67625.350000000006</v>
      </c>
      <c r="E1307" s="155" t="s">
        <v>569</v>
      </c>
      <c r="F1307" s="152" t="s">
        <v>534</v>
      </c>
      <c r="G1307" s="153">
        <f>57309.62*1.18</f>
        <v>67625.351599999995</v>
      </c>
      <c r="H1307" s="154">
        <v>42459</v>
      </c>
      <c r="I1307" s="154">
        <v>42535</v>
      </c>
      <c r="J1307" s="155">
        <v>67625.350000000006</v>
      </c>
    </row>
    <row r="1308" spans="1:10" s="9" customFormat="1" ht="17.25" outlineLevel="1" thickBot="1" x14ac:dyDescent="0.3">
      <c r="A1308" s="686" t="s">
        <v>628</v>
      </c>
      <c r="B1308" s="687"/>
      <c r="C1308" s="321"/>
      <c r="D1308" s="222">
        <f>SUM(D1306:D1307)</f>
        <v>4295942.9499999993</v>
      </c>
      <c r="E1308" s="310"/>
      <c r="F1308" s="310"/>
      <c r="G1308" s="323">
        <f>SUM(G1306:G1307)</f>
        <v>4295942.9515999993</v>
      </c>
      <c r="H1308" s="124"/>
      <c r="I1308" s="130"/>
      <c r="J1308" s="222">
        <f t="shared" ref="J1308" si="26">SUM(J1306:J1307)</f>
        <v>4213034.97</v>
      </c>
    </row>
    <row r="1309" spans="1:10" s="8" customFormat="1" ht="33" x14ac:dyDescent="0.25">
      <c r="A1309" s="767">
        <v>15</v>
      </c>
      <c r="B1309" s="769" t="s">
        <v>4</v>
      </c>
      <c r="C1309" s="109" t="s">
        <v>500</v>
      </c>
      <c r="D1309" s="48">
        <v>2898530.76</v>
      </c>
      <c r="E1309" s="51" t="s">
        <v>913</v>
      </c>
      <c r="F1309" s="51" t="s">
        <v>800</v>
      </c>
      <c r="G1309" s="49">
        <v>2762156.98</v>
      </c>
      <c r="H1309" s="50">
        <v>42612</v>
      </c>
      <c r="I1309" s="50">
        <v>42668</v>
      </c>
      <c r="J1309" s="51">
        <v>2898530.76</v>
      </c>
    </row>
    <row r="1310" spans="1:10" s="9" customFormat="1" ht="49.5" outlineLevel="1" x14ac:dyDescent="0.25">
      <c r="A1310" s="768"/>
      <c r="B1310" s="764"/>
      <c r="C1310" s="150" t="s">
        <v>37</v>
      </c>
      <c r="D1310" s="151">
        <v>72518.720000000001</v>
      </c>
      <c r="E1310" s="155" t="s">
        <v>569</v>
      </c>
      <c r="F1310" s="152" t="s">
        <v>534</v>
      </c>
      <c r="G1310" s="153">
        <f>61456.54*1.18</f>
        <v>72518.717199999999</v>
      </c>
      <c r="H1310" s="154">
        <v>42459</v>
      </c>
      <c r="I1310" s="154">
        <v>42535</v>
      </c>
      <c r="J1310" s="155">
        <v>72518.720000000001</v>
      </c>
    </row>
    <row r="1311" spans="1:10" s="9" customFormat="1" ht="17.25" outlineLevel="1" thickBot="1" x14ac:dyDescent="0.3">
      <c r="A1311" s="686" t="s">
        <v>628</v>
      </c>
      <c r="B1311" s="687"/>
      <c r="C1311" s="321"/>
      <c r="D1311" s="222">
        <f>SUM(D1309:D1310)</f>
        <v>2971049.48</v>
      </c>
      <c r="E1311" s="310"/>
      <c r="F1311" s="310"/>
      <c r="G1311" s="323">
        <f>SUM(G1309:G1310)</f>
        <v>2834675.6971999998</v>
      </c>
      <c r="H1311" s="124"/>
      <c r="I1311" s="130"/>
      <c r="J1311" s="222">
        <f t="shared" ref="J1311" si="27">SUM(J1309:J1310)</f>
        <v>2971049.48</v>
      </c>
    </row>
    <row r="1312" spans="1:10" s="8" customFormat="1" ht="33" x14ac:dyDescent="0.25">
      <c r="A1312" s="767">
        <v>16</v>
      </c>
      <c r="B1312" s="769" t="s">
        <v>294</v>
      </c>
      <c r="C1312" s="109" t="s">
        <v>500</v>
      </c>
      <c r="D1312" s="48">
        <v>2839651.12</v>
      </c>
      <c r="E1312" s="52" t="s">
        <v>1065</v>
      </c>
      <c r="F1312" s="107" t="s">
        <v>800</v>
      </c>
      <c r="G1312" s="73">
        <v>2839651.12</v>
      </c>
      <c r="H1312" s="75">
        <v>42729</v>
      </c>
      <c r="I1312" s="50">
        <v>42726</v>
      </c>
      <c r="J1312" s="51">
        <v>2783971.64</v>
      </c>
    </row>
    <row r="1313" spans="1:10" s="9" customFormat="1" ht="49.5" outlineLevel="1" x14ac:dyDescent="0.25">
      <c r="A1313" s="768"/>
      <c r="B1313" s="764"/>
      <c r="C1313" s="150" t="s">
        <v>37</v>
      </c>
      <c r="D1313" s="151">
        <v>63662.78</v>
      </c>
      <c r="E1313" s="155" t="s">
        <v>569</v>
      </c>
      <c r="F1313" s="152" t="s">
        <v>534</v>
      </c>
      <c r="G1313" s="153">
        <f>53951.51*1.18</f>
        <v>63662.781799999997</v>
      </c>
      <c r="H1313" s="154">
        <v>42459</v>
      </c>
      <c r="I1313" s="154">
        <v>42535</v>
      </c>
      <c r="J1313" s="155">
        <v>63662.78</v>
      </c>
    </row>
    <row r="1314" spans="1:10" s="9" customFormat="1" ht="17.25" outlineLevel="1" thickBot="1" x14ac:dyDescent="0.3">
      <c r="A1314" s="724" t="s">
        <v>628</v>
      </c>
      <c r="B1314" s="725"/>
      <c r="C1314" s="284"/>
      <c r="D1314" s="222">
        <f>SUM(D1312:D1313)</f>
        <v>2903313.9</v>
      </c>
      <c r="E1314" s="125"/>
      <c r="F1314" s="125"/>
      <c r="G1314" s="323">
        <f>SUM(G1312:G1313)</f>
        <v>2903313.9018000001</v>
      </c>
      <c r="H1314" s="123"/>
      <c r="I1314" s="108"/>
      <c r="J1314" s="222">
        <f t="shared" ref="J1314" si="28">SUM(J1312:J1313)</f>
        <v>2847634.42</v>
      </c>
    </row>
    <row r="1315" spans="1:10" s="8" customFormat="1" ht="33" x14ac:dyDescent="0.25">
      <c r="A1315" s="767">
        <v>17</v>
      </c>
      <c r="B1315" s="777" t="s">
        <v>567</v>
      </c>
      <c r="C1315" s="48" t="s">
        <v>38</v>
      </c>
      <c r="D1315" s="48">
        <v>1002158.66</v>
      </c>
      <c r="E1315" s="227" t="s">
        <v>913</v>
      </c>
      <c r="F1315" s="51" t="s">
        <v>800</v>
      </c>
      <c r="G1315" s="49">
        <v>1093298.32</v>
      </c>
      <c r="H1315" s="72">
        <v>42607</v>
      </c>
      <c r="I1315" s="50">
        <v>42668</v>
      </c>
      <c r="J1315" s="51">
        <v>1002158.66</v>
      </c>
    </row>
    <row r="1316" spans="1:10" s="9" customFormat="1" ht="33" outlineLevel="1" x14ac:dyDescent="0.25">
      <c r="A1316" s="768"/>
      <c r="B1316" s="775"/>
      <c r="C1316" s="73" t="s">
        <v>34</v>
      </c>
      <c r="D1316" s="73">
        <v>3719060.28</v>
      </c>
      <c r="E1316" s="129" t="s">
        <v>913</v>
      </c>
      <c r="F1316" s="52" t="s">
        <v>800</v>
      </c>
      <c r="G1316" s="74">
        <v>3896817.84</v>
      </c>
      <c r="H1316" s="75">
        <v>42607</v>
      </c>
      <c r="I1316" s="75">
        <v>42668</v>
      </c>
      <c r="J1316" s="52">
        <v>3719060.28</v>
      </c>
    </row>
    <row r="1317" spans="1:10" s="9" customFormat="1" ht="33" outlineLevel="1" x14ac:dyDescent="0.25">
      <c r="A1317" s="768"/>
      <c r="B1317" s="775"/>
      <c r="C1317" s="73" t="s">
        <v>35</v>
      </c>
      <c r="D1317" s="73">
        <v>1980392.82</v>
      </c>
      <c r="E1317" s="129" t="s">
        <v>913</v>
      </c>
      <c r="F1317" s="52" t="s">
        <v>800</v>
      </c>
      <c r="G1317" s="74">
        <v>2020000.7</v>
      </c>
      <c r="H1317" s="76">
        <v>42607</v>
      </c>
      <c r="I1317" s="75">
        <v>42668</v>
      </c>
      <c r="J1317" s="52">
        <v>1980392.82</v>
      </c>
    </row>
    <row r="1318" spans="1:10" s="9" customFormat="1" ht="33" outlineLevel="1" x14ac:dyDescent="0.25">
      <c r="A1318" s="768"/>
      <c r="B1318" s="775"/>
      <c r="C1318" s="73" t="s">
        <v>500</v>
      </c>
      <c r="D1318" s="73">
        <v>3868445.92</v>
      </c>
      <c r="E1318" s="52" t="s">
        <v>913</v>
      </c>
      <c r="F1318" s="107" t="s">
        <v>800</v>
      </c>
      <c r="G1318" s="74">
        <v>3878468.84</v>
      </c>
      <c r="H1318" s="75">
        <v>42612</v>
      </c>
      <c r="I1318" s="75">
        <v>42668</v>
      </c>
      <c r="J1318" s="52">
        <v>3868445.92</v>
      </c>
    </row>
    <row r="1319" spans="1:10" s="9" customFormat="1" ht="33" outlineLevel="1" x14ac:dyDescent="0.25">
      <c r="A1319" s="768"/>
      <c r="B1319" s="775"/>
      <c r="C1319" s="73" t="s">
        <v>501</v>
      </c>
      <c r="D1319" s="73">
        <v>6474169.1200000001</v>
      </c>
      <c r="E1319" s="517" t="s">
        <v>1021</v>
      </c>
      <c r="F1319" s="517" t="s">
        <v>800</v>
      </c>
      <c r="G1319" s="74">
        <v>6474169.1200000001</v>
      </c>
      <c r="H1319" s="518">
        <v>42689</v>
      </c>
      <c r="I1319" s="518">
        <v>42809</v>
      </c>
      <c r="J1319" s="516">
        <v>6641052.9800000004</v>
      </c>
    </row>
    <row r="1320" spans="1:10" s="9" customFormat="1" ht="49.5" outlineLevel="1" x14ac:dyDescent="0.25">
      <c r="A1320" s="768"/>
      <c r="B1320" s="775"/>
      <c r="C1320" s="150" t="s">
        <v>37</v>
      </c>
      <c r="D1320" s="151">
        <v>267611.34999999998</v>
      </c>
      <c r="E1320" s="155" t="s">
        <v>569</v>
      </c>
      <c r="F1320" s="152" t="s">
        <v>534</v>
      </c>
      <c r="G1320" s="153">
        <f>226789.28*1.18</f>
        <v>267611.3504</v>
      </c>
      <c r="H1320" s="154">
        <v>42459</v>
      </c>
      <c r="I1320" s="154">
        <v>42535</v>
      </c>
      <c r="J1320" s="155">
        <v>267611.34999999998</v>
      </c>
    </row>
    <row r="1321" spans="1:10" s="9" customFormat="1" ht="17.25" outlineLevel="1" thickBot="1" x14ac:dyDescent="0.3">
      <c r="A1321" s="686" t="s">
        <v>628</v>
      </c>
      <c r="B1321" s="687"/>
      <c r="C1321" s="223"/>
      <c r="D1321" s="222">
        <f>SUM(D1315:D1320)</f>
        <v>17311838.150000002</v>
      </c>
      <c r="E1321" s="310"/>
      <c r="F1321" s="310"/>
      <c r="G1321" s="323">
        <f>SUM(G1315:G1320)</f>
        <v>17630366.170400001</v>
      </c>
      <c r="H1321" s="124"/>
      <c r="I1321" s="130"/>
      <c r="J1321" s="222">
        <f t="shared" ref="J1321" si="29">SUM(J1315:J1320)</f>
        <v>17478722.010000002</v>
      </c>
    </row>
    <row r="1322" spans="1:10" s="25" customFormat="1" ht="32.25" customHeight="1" x14ac:dyDescent="0.25">
      <c r="A1322" s="765">
        <v>18</v>
      </c>
      <c r="B1322" s="852" t="s">
        <v>287</v>
      </c>
      <c r="C1322" s="48" t="s">
        <v>36</v>
      </c>
      <c r="D1322" s="48">
        <v>156280.19</v>
      </c>
      <c r="E1322" s="51" t="s">
        <v>799</v>
      </c>
      <c r="F1322" s="227" t="s">
        <v>800</v>
      </c>
      <c r="G1322" s="49">
        <v>200618.23999999999</v>
      </c>
      <c r="H1322" s="50">
        <v>42565</v>
      </c>
      <c r="I1322" s="50">
        <v>42571</v>
      </c>
      <c r="J1322" s="51">
        <v>156280.19</v>
      </c>
    </row>
    <row r="1323" spans="1:10" s="8" customFormat="1" ht="32.25" customHeight="1" x14ac:dyDescent="0.25">
      <c r="A1323" s="766"/>
      <c r="B1323" s="853"/>
      <c r="C1323" s="104" t="s">
        <v>35</v>
      </c>
      <c r="D1323" s="104">
        <v>333344.09999999998</v>
      </c>
      <c r="E1323" s="107" t="s">
        <v>913</v>
      </c>
      <c r="F1323" s="52" t="s">
        <v>800</v>
      </c>
      <c r="G1323" s="106">
        <v>340011.1</v>
      </c>
      <c r="H1323" s="76">
        <v>42607</v>
      </c>
      <c r="I1323" s="76">
        <v>42668</v>
      </c>
      <c r="J1323" s="107">
        <v>333344.09999999998</v>
      </c>
    </row>
    <row r="1324" spans="1:10" s="8" customFormat="1" ht="32.25" customHeight="1" x14ac:dyDescent="0.25">
      <c r="A1324" s="766"/>
      <c r="B1324" s="853"/>
      <c r="C1324" s="104" t="s">
        <v>34</v>
      </c>
      <c r="D1324" s="104">
        <v>2331642.2400000002</v>
      </c>
      <c r="E1324" s="107" t="s">
        <v>913</v>
      </c>
      <c r="F1324" s="232" t="s">
        <v>800</v>
      </c>
      <c r="G1324" s="106">
        <v>2381088.96</v>
      </c>
      <c r="H1324" s="76">
        <v>42607</v>
      </c>
      <c r="I1324" s="76">
        <v>42668</v>
      </c>
      <c r="J1324" s="107">
        <v>2331642.2400000002</v>
      </c>
    </row>
    <row r="1325" spans="1:10" s="8" customFormat="1" ht="32.25" customHeight="1" x14ac:dyDescent="0.25">
      <c r="A1325" s="766"/>
      <c r="B1325" s="853"/>
      <c r="C1325" s="104" t="s">
        <v>38</v>
      </c>
      <c r="D1325" s="104">
        <v>709272.04</v>
      </c>
      <c r="E1325" s="107" t="s">
        <v>913</v>
      </c>
      <c r="F1325" s="52" t="s">
        <v>800</v>
      </c>
      <c r="G1325" s="106">
        <v>732687.96</v>
      </c>
      <c r="H1325" s="76">
        <v>42607</v>
      </c>
      <c r="I1325" s="76">
        <v>42668</v>
      </c>
      <c r="J1325" s="107">
        <v>709272.04</v>
      </c>
    </row>
    <row r="1326" spans="1:10" s="9" customFormat="1" ht="33" outlineLevel="1" x14ac:dyDescent="0.25">
      <c r="A1326" s="776"/>
      <c r="B1326" s="774"/>
      <c r="C1326" s="73" t="s">
        <v>501</v>
      </c>
      <c r="D1326" s="73">
        <v>5270000</v>
      </c>
      <c r="E1326" s="513" t="s">
        <v>1065</v>
      </c>
      <c r="F1326" s="512" t="s">
        <v>800</v>
      </c>
      <c r="G1326" s="73">
        <v>4257258.28</v>
      </c>
      <c r="H1326" s="515">
        <v>42729</v>
      </c>
      <c r="I1326" s="515">
        <v>42825</v>
      </c>
      <c r="J1326" s="513">
        <v>4442246.88</v>
      </c>
    </row>
    <row r="1327" spans="1:10" s="9" customFormat="1" ht="17.25" outlineLevel="1" thickBot="1" x14ac:dyDescent="0.3">
      <c r="A1327" s="686" t="s">
        <v>628</v>
      </c>
      <c r="B1327" s="687"/>
      <c r="C1327" s="87"/>
      <c r="D1327" s="64">
        <f>SUM(D1322:D1326)</f>
        <v>8800538.5700000003</v>
      </c>
      <c r="E1327" s="310"/>
      <c r="F1327" s="310"/>
      <c r="G1327" s="66">
        <f>SUM(G1322:G1326)</f>
        <v>7911664.54</v>
      </c>
      <c r="H1327" s="124"/>
      <c r="I1327" s="130"/>
      <c r="J1327" s="64">
        <f>SUM(J1322:J1326)</f>
        <v>7972785.4500000002</v>
      </c>
    </row>
    <row r="1328" spans="1:10" s="8" customFormat="1" ht="30" customHeight="1" x14ac:dyDescent="0.25">
      <c r="A1328" s="767">
        <v>19</v>
      </c>
      <c r="B1328" s="777" t="s">
        <v>645</v>
      </c>
      <c r="C1328" s="245" t="s">
        <v>38</v>
      </c>
      <c r="D1328" s="48">
        <v>670158.97</v>
      </c>
      <c r="E1328" s="740" t="s">
        <v>799</v>
      </c>
      <c r="F1328" s="740" t="s">
        <v>800</v>
      </c>
      <c r="G1328" s="49">
        <v>683562</v>
      </c>
      <c r="H1328" s="675">
        <v>42565</v>
      </c>
      <c r="I1328" s="50">
        <v>42571</v>
      </c>
      <c r="J1328" s="51">
        <v>670158.97</v>
      </c>
    </row>
    <row r="1329" spans="1:10" s="8" customFormat="1" ht="16.5" x14ac:dyDescent="0.25">
      <c r="A1329" s="776"/>
      <c r="B1329" s="774"/>
      <c r="C1329" s="73" t="s">
        <v>34</v>
      </c>
      <c r="D1329" s="73">
        <v>2203148.96</v>
      </c>
      <c r="E1329" s="710"/>
      <c r="F1329" s="710"/>
      <c r="G1329" s="281">
        <v>2221440.12</v>
      </c>
      <c r="H1329" s="676"/>
      <c r="I1329" s="75">
        <v>42572</v>
      </c>
      <c r="J1329" s="107">
        <v>2203148.96</v>
      </c>
    </row>
    <row r="1330" spans="1:10" s="9" customFormat="1" ht="16.5" outlineLevel="1" x14ac:dyDescent="0.25">
      <c r="A1330" s="768"/>
      <c r="B1330" s="775"/>
      <c r="C1330" s="73" t="s">
        <v>35</v>
      </c>
      <c r="D1330" s="73">
        <v>309716.78999999998</v>
      </c>
      <c r="E1330" s="710"/>
      <c r="F1330" s="710"/>
      <c r="G1330" s="149">
        <v>317213.81</v>
      </c>
      <c r="H1330" s="676"/>
      <c r="I1330" s="92">
        <v>42573</v>
      </c>
      <c r="J1330" s="52">
        <v>309716.78999999998</v>
      </c>
    </row>
    <row r="1331" spans="1:10" s="9" customFormat="1" ht="16.5" outlineLevel="1" x14ac:dyDescent="0.25">
      <c r="A1331" s="768"/>
      <c r="B1331" s="775"/>
      <c r="C1331" s="73" t="s">
        <v>36</v>
      </c>
      <c r="D1331" s="73">
        <v>159330.74</v>
      </c>
      <c r="E1331" s="711"/>
      <c r="F1331" s="711"/>
      <c r="G1331" s="74">
        <v>230871.59</v>
      </c>
      <c r="H1331" s="677"/>
      <c r="I1331" s="75">
        <v>42574</v>
      </c>
      <c r="J1331" s="52">
        <v>159330.74</v>
      </c>
    </row>
    <row r="1332" spans="1:10" s="9" customFormat="1" ht="33" outlineLevel="1" x14ac:dyDescent="0.25">
      <c r="A1332" s="768"/>
      <c r="B1332" s="775"/>
      <c r="C1332" s="73" t="s">
        <v>501</v>
      </c>
      <c r="D1332" s="73">
        <v>6505000</v>
      </c>
      <c r="E1332" s="513" t="s">
        <v>1065</v>
      </c>
      <c r="F1332" s="512" t="s">
        <v>800</v>
      </c>
      <c r="G1332" s="73">
        <v>4404898.7</v>
      </c>
      <c r="H1332" s="515">
        <v>42729</v>
      </c>
      <c r="I1332" s="515">
        <v>42825</v>
      </c>
      <c r="J1332" s="513">
        <v>4542139.78</v>
      </c>
    </row>
    <row r="1333" spans="1:10" s="9" customFormat="1" ht="17.25" outlineLevel="1" thickBot="1" x14ac:dyDescent="0.3">
      <c r="A1333" s="686" t="s">
        <v>628</v>
      </c>
      <c r="B1333" s="687"/>
      <c r="C1333" s="223"/>
      <c r="D1333" s="222">
        <f>SUM(D1328:D1332)</f>
        <v>9847355.4600000009</v>
      </c>
      <c r="E1333" s="310"/>
      <c r="F1333" s="310"/>
      <c r="G1333" s="323">
        <f>SUM(G1328:G1332)</f>
        <v>7857986.2200000007</v>
      </c>
      <c r="H1333" s="124"/>
      <c r="I1333" s="130"/>
      <c r="J1333" s="222">
        <f>SUM(J1328:J1332)</f>
        <v>7884495.2400000002</v>
      </c>
    </row>
    <row r="1334" spans="1:10" s="8" customFormat="1" ht="33" x14ac:dyDescent="0.25">
      <c r="A1334" s="767">
        <v>20</v>
      </c>
      <c r="B1334" s="769" t="s">
        <v>568</v>
      </c>
      <c r="C1334" s="109" t="s">
        <v>500</v>
      </c>
      <c r="D1334" s="48">
        <v>4286391.3</v>
      </c>
      <c r="E1334" s="52" t="s">
        <v>1065</v>
      </c>
      <c r="F1334" s="107" t="s">
        <v>800</v>
      </c>
      <c r="G1334" s="73">
        <v>4286391.3</v>
      </c>
      <c r="H1334" s="75">
        <v>42729</v>
      </c>
      <c r="I1334" s="50">
        <v>42726</v>
      </c>
      <c r="J1334" s="51">
        <v>4202344.62</v>
      </c>
    </row>
    <row r="1335" spans="1:10" s="9" customFormat="1" ht="49.5" outlineLevel="1" x14ac:dyDescent="0.25">
      <c r="A1335" s="768"/>
      <c r="B1335" s="764"/>
      <c r="C1335" s="150" t="s">
        <v>37</v>
      </c>
      <c r="D1335" s="151">
        <v>71442.97</v>
      </c>
      <c r="E1335" s="155" t="s">
        <v>569</v>
      </c>
      <c r="F1335" s="152" t="s">
        <v>534</v>
      </c>
      <c r="G1335" s="153">
        <f>60544.88*1.18</f>
        <v>71442.958399999989</v>
      </c>
      <c r="H1335" s="154">
        <v>42459</v>
      </c>
      <c r="I1335" s="154">
        <v>42535</v>
      </c>
      <c r="J1335" s="155">
        <v>71442.97</v>
      </c>
    </row>
    <row r="1336" spans="1:10" s="9" customFormat="1" ht="17.25" outlineLevel="1" thickBot="1" x14ac:dyDescent="0.3">
      <c r="A1336" s="686" t="s">
        <v>628</v>
      </c>
      <c r="B1336" s="687"/>
      <c r="C1336" s="321"/>
      <c r="D1336" s="222">
        <f>SUM(D1334:D1335)</f>
        <v>4357834.2699999996</v>
      </c>
      <c r="E1336" s="310"/>
      <c r="F1336" s="310"/>
      <c r="G1336" s="323">
        <f>SUM(G1334:G1335)</f>
        <v>4357834.2583999997</v>
      </c>
      <c r="H1336" s="124"/>
      <c r="I1336" s="130"/>
      <c r="J1336" s="222">
        <f t="shared" ref="J1336" si="30">SUM(J1334:J1335)</f>
        <v>4273787.59</v>
      </c>
    </row>
    <row r="1337" spans="1:10" s="20" customFormat="1" ht="19.5" customHeight="1" outlineLevel="1" x14ac:dyDescent="0.25">
      <c r="A1337" s="572"/>
      <c r="B1337" s="854" t="s">
        <v>1008</v>
      </c>
      <c r="C1337" s="855"/>
      <c r="D1337" s="391">
        <v>2841611.14</v>
      </c>
      <c r="E1337" s="421"/>
      <c r="F1337" s="571"/>
      <c r="G1337" s="573">
        <f>SUM(G1338:G1345)</f>
        <v>2841611.1400000006</v>
      </c>
      <c r="H1337" s="567"/>
      <c r="I1337" s="574"/>
      <c r="J1337" s="391">
        <f>SUM(J1338:J1345)</f>
        <v>2344141.9900000002</v>
      </c>
    </row>
    <row r="1338" spans="1:10" s="23" customFormat="1" ht="32.25" customHeight="1" outlineLevel="1" x14ac:dyDescent="0.25">
      <c r="A1338" s="575"/>
      <c r="B1338" s="576" t="s">
        <v>1313</v>
      </c>
      <c r="C1338" s="570" t="s">
        <v>37</v>
      </c>
      <c r="D1338" s="186"/>
      <c r="E1338" s="712" t="s">
        <v>1321</v>
      </c>
      <c r="F1338" s="693" t="s">
        <v>1286</v>
      </c>
      <c r="G1338" s="73">
        <v>146821.72</v>
      </c>
      <c r="H1338" s="816">
        <v>42806</v>
      </c>
      <c r="I1338" s="569">
        <v>42859</v>
      </c>
      <c r="J1338" s="73">
        <v>124425.19</v>
      </c>
    </row>
    <row r="1339" spans="1:10" s="23" customFormat="1" ht="27" customHeight="1" outlineLevel="1" x14ac:dyDescent="0.25">
      <c r="A1339" s="575"/>
      <c r="B1339" s="576" t="s">
        <v>1314</v>
      </c>
      <c r="C1339" s="570" t="s">
        <v>37</v>
      </c>
      <c r="D1339" s="186"/>
      <c r="E1339" s="712"/>
      <c r="F1339" s="693"/>
      <c r="G1339" s="73">
        <v>147132.16</v>
      </c>
      <c r="H1339" s="816"/>
      <c r="I1339" s="569">
        <v>42859</v>
      </c>
      <c r="J1339" s="73">
        <v>124688.27</v>
      </c>
    </row>
    <row r="1340" spans="1:10" s="23" customFormat="1" ht="28.5" customHeight="1" outlineLevel="1" x14ac:dyDescent="0.25">
      <c r="A1340" s="575"/>
      <c r="B1340" s="576" t="s">
        <v>1315</v>
      </c>
      <c r="C1340" s="570" t="s">
        <v>37</v>
      </c>
      <c r="D1340" s="186"/>
      <c r="E1340" s="712"/>
      <c r="F1340" s="693"/>
      <c r="G1340" s="73">
        <v>346841.64</v>
      </c>
      <c r="H1340" s="816"/>
      <c r="I1340" s="569">
        <v>42859</v>
      </c>
      <c r="J1340" s="73">
        <v>293933.59000000003</v>
      </c>
    </row>
    <row r="1341" spans="1:10" s="23" customFormat="1" ht="27.75" customHeight="1" outlineLevel="1" x14ac:dyDescent="0.25">
      <c r="A1341" s="575"/>
      <c r="B1341" s="576" t="s">
        <v>1316</v>
      </c>
      <c r="C1341" s="570" t="s">
        <v>37</v>
      </c>
      <c r="D1341" s="186"/>
      <c r="E1341" s="712"/>
      <c r="F1341" s="693"/>
      <c r="G1341" s="73">
        <v>344769.54</v>
      </c>
      <c r="H1341" s="816"/>
      <c r="I1341" s="569">
        <v>42859</v>
      </c>
      <c r="J1341" s="73">
        <v>292177.58</v>
      </c>
    </row>
    <row r="1342" spans="1:10" s="23" customFormat="1" ht="30" customHeight="1" outlineLevel="1" x14ac:dyDescent="0.25">
      <c r="A1342" s="575"/>
      <c r="B1342" s="576" t="s">
        <v>1317</v>
      </c>
      <c r="C1342" s="570" t="s">
        <v>37</v>
      </c>
      <c r="D1342" s="186"/>
      <c r="E1342" s="712"/>
      <c r="F1342" s="693"/>
      <c r="G1342" s="73">
        <v>154895.82999999999</v>
      </c>
      <c r="H1342" s="816"/>
      <c r="I1342" s="569">
        <v>42859</v>
      </c>
      <c r="J1342" s="73">
        <v>131267.65</v>
      </c>
    </row>
    <row r="1343" spans="1:10" s="23" customFormat="1" ht="28.5" customHeight="1" outlineLevel="1" x14ac:dyDescent="0.25">
      <c r="A1343" s="575"/>
      <c r="B1343" s="576" t="s">
        <v>1318</v>
      </c>
      <c r="C1343" s="570" t="s">
        <v>37</v>
      </c>
      <c r="D1343" s="186"/>
      <c r="E1343" s="712"/>
      <c r="F1343" s="693"/>
      <c r="G1343" s="73">
        <v>789352.28</v>
      </c>
      <c r="H1343" s="816"/>
      <c r="I1343" s="569">
        <v>42859</v>
      </c>
      <c r="J1343" s="73">
        <v>668942.61</v>
      </c>
    </row>
    <row r="1344" spans="1:10" s="23" customFormat="1" ht="29.25" customHeight="1" outlineLevel="1" x14ac:dyDescent="0.25">
      <c r="A1344" s="575"/>
      <c r="B1344" s="576" t="s">
        <v>1319</v>
      </c>
      <c r="C1344" s="570" t="s">
        <v>37</v>
      </c>
      <c r="D1344" s="186"/>
      <c r="E1344" s="712"/>
      <c r="F1344" s="693"/>
      <c r="G1344" s="73">
        <v>418137.19</v>
      </c>
      <c r="H1344" s="816"/>
      <c r="I1344" s="569">
        <v>42859</v>
      </c>
      <c r="J1344" s="73">
        <v>354353.55</v>
      </c>
    </row>
    <row r="1345" spans="1:10" s="23" customFormat="1" ht="28.5" customHeight="1" outlineLevel="1" x14ac:dyDescent="0.25">
      <c r="A1345" s="575"/>
      <c r="B1345" s="576" t="s">
        <v>1320</v>
      </c>
      <c r="C1345" s="570" t="s">
        <v>37</v>
      </c>
      <c r="D1345" s="186"/>
      <c r="E1345" s="712"/>
      <c r="F1345" s="693"/>
      <c r="G1345" s="73">
        <v>493660.78</v>
      </c>
      <c r="H1345" s="816"/>
      <c r="I1345" s="569">
        <v>42859</v>
      </c>
      <c r="J1345" s="73">
        <v>354353.55</v>
      </c>
    </row>
    <row r="1346" spans="1:10" s="9" customFormat="1" ht="17.25" outlineLevel="1" thickBot="1" x14ac:dyDescent="0.3">
      <c r="A1346" s="796" t="s">
        <v>629</v>
      </c>
      <c r="B1346" s="797"/>
      <c r="C1346" s="338"/>
      <c r="D1346" s="339">
        <f>SUM(D1336,D1333,D1327,D1321,D1314,D1311,D1308,D1305,D1303,D1300,D1297,D1294,D1289,D1286,D1283,D1280,D1277,D1273,D1266,D1263,D1337)</f>
        <v>171727093.32679996</v>
      </c>
      <c r="E1346" s="341"/>
      <c r="F1346" s="341"/>
      <c r="G1346" s="342">
        <f>SUM(G1336,G1333,G1327,G1321,G1314,G1311,G1308,G1305,G1303,G1300,G1297,G1294,G1289,G1286,G1283,G1280,G1277,G1273,G1266,G1263,G1337)</f>
        <v>162578192.70600003</v>
      </c>
      <c r="H1346" s="318"/>
      <c r="I1346" s="289"/>
      <c r="J1346" s="339">
        <f>SUM(J1336,J1333,J1327,J1321,J1314,J1311,J1308,J1305,J1303,J1300,J1297,J1294,J1289,J1286,J1283,J1280,J1277,J1273,J1266,J1263,J1337)</f>
        <v>159194801.18000004</v>
      </c>
    </row>
    <row r="1347" spans="1:10" s="8" customFormat="1" ht="30" customHeight="1" thickBot="1" x14ac:dyDescent="0.3">
      <c r="A1347" s="803" t="s">
        <v>646</v>
      </c>
      <c r="B1347" s="804"/>
      <c r="C1347" s="804"/>
      <c r="D1347" s="804"/>
      <c r="E1347" s="804"/>
      <c r="F1347" s="804"/>
      <c r="G1347" s="804"/>
      <c r="H1347" s="804"/>
      <c r="I1347" s="804"/>
      <c r="J1347" s="804"/>
    </row>
    <row r="1348" spans="1:10" s="4" customFormat="1" ht="33" x14ac:dyDescent="0.25">
      <c r="A1348" s="734">
        <v>1</v>
      </c>
      <c r="B1348" s="732" t="s">
        <v>295</v>
      </c>
      <c r="C1348" s="70" t="s">
        <v>500</v>
      </c>
      <c r="D1348" s="51">
        <v>2660095.58</v>
      </c>
      <c r="E1348" s="70" t="s">
        <v>846</v>
      </c>
      <c r="F1348" s="70" t="s">
        <v>847</v>
      </c>
      <c r="G1348" s="148">
        <v>2914525</v>
      </c>
      <c r="H1348" s="50">
        <v>42590</v>
      </c>
      <c r="I1348" s="50">
        <v>42628</v>
      </c>
      <c r="J1348" s="51">
        <v>2660095.58</v>
      </c>
    </row>
    <row r="1349" spans="1:10" ht="33" outlineLevel="1" x14ac:dyDescent="0.25">
      <c r="A1349" s="731"/>
      <c r="B1349" s="733"/>
      <c r="C1349" s="150" t="s">
        <v>37</v>
      </c>
      <c r="D1349" s="151">
        <v>75197.820000000007</v>
      </c>
      <c r="E1349" s="155" t="s">
        <v>575</v>
      </c>
      <c r="F1349" s="152" t="s">
        <v>541</v>
      </c>
      <c r="G1349" s="153">
        <v>75197.81</v>
      </c>
      <c r="H1349" s="154">
        <v>42429</v>
      </c>
      <c r="I1349" s="154">
        <v>42593</v>
      </c>
      <c r="J1349" s="155">
        <v>75197.81</v>
      </c>
    </row>
    <row r="1350" spans="1:10" ht="17.25" outlineLevel="1" thickBot="1" x14ac:dyDescent="0.3">
      <c r="A1350" s="686" t="s">
        <v>628</v>
      </c>
      <c r="B1350" s="687"/>
      <c r="C1350" s="156"/>
      <c r="D1350" s="157">
        <f>SUM(D1348:D1349)</f>
        <v>2735293.4</v>
      </c>
      <c r="E1350" s="88"/>
      <c r="F1350" s="88"/>
      <c r="G1350" s="158">
        <f>SUM(G1348:G1349)</f>
        <v>2989722.81</v>
      </c>
      <c r="H1350" s="88"/>
      <c r="I1350" s="130"/>
      <c r="J1350" s="157">
        <f t="shared" ref="J1350" si="31">SUM(J1348:J1349)</f>
        <v>2735293.39</v>
      </c>
    </row>
    <row r="1351" spans="1:10" s="4" customFormat="1" ht="33" x14ac:dyDescent="0.25">
      <c r="A1351" s="734">
        <v>2</v>
      </c>
      <c r="B1351" s="732" t="s">
        <v>296</v>
      </c>
      <c r="C1351" s="70" t="s">
        <v>500</v>
      </c>
      <c r="D1351" s="51">
        <v>3502291</v>
      </c>
      <c r="E1351" s="70" t="s">
        <v>846</v>
      </c>
      <c r="F1351" s="70" t="s">
        <v>847</v>
      </c>
      <c r="G1351" s="148">
        <v>3502291</v>
      </c>
      <c r="H1351" s="50">
        <v>42640</v>
      </c>
      <c r="I1351" s="50">
        <v>42662</v>
      </c>
      <c r="J1351" s="51">
        <v>3378883.98</v>
      </c>
    </row>
    <row r="1352" spans="1:10" ht="33" outlineLevel="1" x14ac:dyDescent="0.25">
      <c r="A1352" s="731"/>
      <c r="B1352" s="733"/>
      <c r="C1352" s="150" t="s">
        <v>37</v>
      </c>
      <c r="D1352" s="151">
        <v>100954.42</v>
      </c>
      <c r="E1352" s="155" t="s">
        <v>575</v>
      </c>
      <c r="F1352" s="152" t="s">
        <v>541</v>
      </c>
      <c r="G1352" s="153">
        <v>100954.42</v>
      </c>
      <c r="H1352" s="154">
        <v>42429</v>
      </c>
      <c r="I1352" s="154">
        <v>42593</v>
      </c>
      <c r="J1352" s="155">
        <v>100954.42</v>
      </c>
    </row>
    <row r="1353" spans="1:10" ht="17.25" outlineLevel="1" thickBot="1" x14ac:dyDescent="0.3">
      <c r="A1353" s="686" t="s">
        <v>628</v>
      </c>
      <c r="B1353" s="687"/>
      <c r="C1353" s="156"/>
      <c r="D1353" s="157">
        <f>SUM(D1351:D1352)</f>
        <v>3603245.42</v>
      </c>
      <c r="E1353" s="88"/>
      <c r="F1353" s="88"/>
      <c r="G1353" s="158">
        <f>SUM(G1351:G1352)</f>
        <v>3603245.42</v>
      </c>
      <c r="H1353" s="88"/>
      <c r="I1353" s="130"/>
      <c r="J1353" s="157">
        <f t="shared" ref="J1353" si="32">SUM(J1351:J1352)</f>
        <v>3479838.4</v>
      </c>
    </row>
    <row r="1354" spans="1:10" s="4" customFormat="1" ht="33" x14ac:dyDescent="0.25">
      <c r="A1354" s="734">
        <v>3</v>
      </c>
      <c r="B1354" s="732" t="s">
        <v>297</v>
      </c>
      <c r="C1354" s="70" t="s">
        <v>500</v>
      </c>
      <c r="D1354" s="51">
        <v>3115037.22</v>
      </c>
      <c r="E1354" s="70" t="s">
        <v>846</v>
      </c>
      <c r="F1354" s="70" t="s">
        <v>847</v>
      </c>
      <c r="G1354" s="148">
        <v>3626972</v>
      </c>
      <c r="H1354" s="50">
        <v>42590</v>
      </c>
      <c r="I1354" s="50">
        <v>42628</v>
      </c>
      <c r="J1354" s="51">
        <v>3115037.22</v>
      </c>
    </row>
    <row r="1355" spans="1:10" ht="33" outlineLevel="1" x14ac:dyDescent="0.25">
      <c r="A1355" s="731"/>
      <c r="B1355" s="733"/>
      <c r="C1355" s="150" t="s">
        <v>37</v>
      </c>
      <c r="D1355" s="151">
        <v>58254.99</v>
      </c>
      <c r="E1355" s="155" t="s">
        <v>575</v>
      </c>
      <c r="F1355" s="152" t="s">
        <v>541</v>
      </c>
      <c r="G1355" s="153">
        <v>58254.98</v>
      </c>
      <c r="H1355" s="154">
        <v>42429</v>
      </c>
      <c r="I1355" s="154">
        <v>42593</v>
      </c>
      <c r="J1355" s="155">
        <v>58254.98000000001</v>
      </c>
    </row>
    <row r="1356" spans="1:10" ht="17.25" outlineLevel="1" thickBot="1" x14ac:dyDescent="0.3">
      <c r="A1356" s="686" t="s">
        <v>628</v>
      </c>
      <c r="B1356" s="687"/>
      <c r="C1356" s="156"/>
      <c r="D1356" s="157">
        <f>SUM(D1354:D1355)</f>
        <v>3173292.2100000004</v>
      </c>
      <c r="E1356" s="88"/>
      <c r="F1356" s="88"/>
      <c r="G1356" s="158">
        <f>SUM(G1354:G1355)</f>
        <v>3685226.98</v>
      </c>
      <c r="H1356" s="88"/>
      <c r="I1356" s="130"/>
      <c r="J1356" s="157">
        <f t="shared" ref="J1356" si="33">SUM(J1354:J1355)</f>
        <v>3173292.2</v>
      </c>
    </row>
    <row r="1357" spans="1:10" s="4" customFormat="1" ht="33" x14ac:dyDescent="0.25">
      <c r="A1357" s="734">
        <v>4</v>
      </c>
      <c r="B1357" s="732" t="s">
        <v>298</v>
      </c>
      <c r="C1357" s="70" t="s">
        <v>500</v>
      </c>
      <c r="D1357" s="51">
        <v>3736938</v>
      </c>
      <c r="E1357" s="70" t="s">
        <v>846</v>
      </c>
      <c r="F1357" s="70" t="s">
        <v>847</v>
      </c>
      <c r="G1357" s="148">
        <v>3736938</v>
      </c>
      <c r="H1357" s="50">
        <v>42590</v>
      </c>
      <c r="I1357" s="50">
        <v>42662</v>
      </c>
      <c r="J1357" s="51">
        <v>3325243.54</v>
      </c>
    </row>
    <row r="1358" spans="1:10" ht="33" outlineLevel="1" x14ac:dyDescent="0.25">
      <c r="A1358" s="731"/>
      <c r="B1358" s="733"/>
      <c r="C1358" s="150" t="s">
        <v>37</v>
      </c>
      <c r="D1358" s="151">
        <v>66376.800000000003</v>
      </c>
      <c r="E1358" s="155" t="s">
        <v>575</v>
      </c>
      <c r="F1358" s="152" t="s">
        <v>541</v>
      </c>
      <c r="G1358" s="153">
        <v>66376.800000000003</v>
      </c>
      <c r="H1358" s="154">
        <v>42429</v>
      </c>
      <c r="I1358" s="154">
        <v>42593</v>
      </c>
      <c r="J1358" s="155">
        <v>66376.800000000003</v>
      </c>
    </row>
    <row r="1359" spans="1:10" ht="17.25" outlineLevel="1" thickBot="1" x14ac:dyDescent="0.3">
      <c r="A1359" s="686" t="s">
        <v>628</v>
      </c>
      <c r="B1359" s="687"/>
      <c r="C1359" s="156"/>
      <c r="D1359" s="157">
        <f>SUM(D1357:D1358)</f>
        <v>3803314.8</v>
      </c>
      <c r="E1359" s="88"/>
      <c r="F1359" s="88"/>
      <c r="G1359" s="158">
        <f>SUM(G1357:G1358)</f>
        <v>3803314.8</v>
      </c>
      <c r="H1359" s="88"/>
      <c r="I1359" s="130"/>
      <c r="J1359" s="157">
        <f t="shared" ref="J1359" si="34">SUM(J1357:J1358)</f>
        <v>3391620.34</v>
      </c>
    </row>
    <row r="1360" spans="1:10" s="4" customFormat="1" ht="33" x14ac:dyDescent="0.25">
      <c r="A1360" s="734">
        <v>5</v>
      </c>
      <c r="B1360" s="732" t="s">
        <v>299</v>
      </c>
      <c r="C1360" s="70" t="s">
        <v>500</v>
      </c>
      <c r="D1360" s="51">
        <v>6092220.8200000003</v>
      </c>
      <c r="E1360" s="70" t="s">
        <v>917</v>
      </c>
      <c r="F1360" s="70" t="s">
        <v>918</v>
      </c>
      <c r="G1360" s="148">
        <v>6300000</v>
      </c>
      <c r="H1360" s="50">
        <v>42634</v>
      </c>
      <c r="I1360" s="50">
        <v>42650</v>
      </c>
      <c r="J1360" s="51">
        <v>6092220.8200000003</v>
      </c>
    </row>
    <row r="1361" spans="1:10" ht="33" outlineLevel="1" x14ac:dyDescent="0.25">
      <c r="A1361" s="731"/>
      <c r="B1361" s="733"/>
      <c r="C1361" s="150" t="s">
        <v>37</v>
      </c>
      <c r="D1361" s="151">
        <v>103838.17</v>
      </c>
      <c r="E1361" s="155" t="s">
        <v>575</v>
      </c>
      <c r="F1361" s="152" t="s">
        <v>541</v>
      </c>
      <c r="G1361" s="153">
        <v>103838.2</v>
      </c>
      <c r="H1361" s="154">
        <v>42429</v>
      </c>
      <c r="I1361" s="154">
        <v>42593</v>
      </c>
      <c r="J1361" s="155">
        <v>103838.2</v>
      </c>
    </row>
    <row r="1362" spans="1:10" ht="17.25" outlineLevel="1" thickBot="1" x14ac:dyDescent="0.3">
      <c r="A1362" s="724" t="s">
        <v>628</v>
      </c>
      <c r="B1362" s="725"/>
      <c r="C1362" s="164"/>
      <c r="D1362" s="157">
        <f>SUM(D1360:D1361)</f>
        <v>6196058.9900000002</v>
      </c>
      <c r="E1362" s="88"/>
      <c r="F1362" s="90"/>
      <c r="G1362" s="158">
        <f>SUM(G1360:G1361)</f>
        <v>6403838.2000000002</v>
      </c>
      <c r="H1362" s="90"/>
      <c r="I1362" s="108"/>
      <c r="J1362" s="157">
        <f t="shared" ref="J1362" si="35">SUM(J1360:J1361)</f>
        <v>6196059.0200000005</v>
      </c>
    </row>
    <row r="1363" spans="1:10" s="4" customFormat="1" ht="33" x14ac:dyDescent="0.25">
      <c r="A1363" s="734">
        <v>6</v>
      </c>
      <c r="B1363" s="732" t="s">
        <v>300</v>
      </c>
      <c r="C1363" s="70" t="s">
        <v>38</v>
      </c>
      <c r="D1363" s="227">
        <v>2150000</v>
      </c>
      <c r="E1363" s="221" t="s">
        <v>874</v>
      </c>
      <c r="F1363" s="240" t="s">
        <v>757</v>
      </c>
      <c r="G1363" s="245">
        <v>1906423.34</v>
      </c>
      <c r="H1363" s="72">
        <v>42591</v>
      </c>
      <c r="I1363" s="472">
        <v>42783</v>
      </c>
      <c r="J1363" s="51">
        <v>1768914</v>
      </c>
    </row>
    <row r="1364" spans="1:10" ht="33" outlineLevel="1" x14ac:dyDescent="0.25">
      <c r="A1364" s="731"/>
      <c r="B1364" s="733"/>
      <c r="C1364" s="656" t="s">
        <v>34</v>
      </c>
      <c r="D1364" s="654">
        <v>8030000</v>
      </c>
      <c r="E1364" s="656" t="s">
        <v>874</v>
      </c>
      <c r="F1364" s="656" t="s">
        <v>757</v>
      </c>
      <c r="G1364" s="654">
        <v>7020558.6799999997</v>
      </c>
      <c r="H1364" s="655">
        <v>42591</v>
      </c>
      <c r="I1364" s="655">
        <v>42731</v>
      </c>
      <c r="J1364" s="654">
        <v>6915354.0700000003</v>
      </c>
    </row>
    <row r="1365" spans="1:10" ht="33" outlineLevel="1" x14ac:dyDescent="0.25">
      <c r="A1365" s="731"/>
      <c r="B1365" s="733"/>
      <c r="C1365" s="91" t="s">
        <v>35</v>
      </c>
      <c r="D1365" s="52">
        <v>1872000</v>
      </c>
      <c r="E1365" s="91" t="s">
        <v>874</v>
      </c>
      <c r="F1365" s="91" t="s">
        <v>757</v>
      </c>
      <c r="G1365" s="52">
        <v>1278027.32</v>
      </c>
      <c r="H1365" s="75">
        <v>42591</v>
      </c>
      <c r="I1365" s="476">
        <v>42783</v>
      </c>
      <c r="J1365" s="52">
        <v>1158775</v>
      </c>
    </row>
    <row r="1366" spans="1:10" ht="33" outlineLevel="1" x14ac:dyDescent="0.25">
      <c r="A1366" s="731"/>
      <c r="B1366" s="733"/>
      <c r="C1366" s="495" t="s">
        <v>36</v>
      </c>
      <c r="D1366" s="495">
        <v>1238000</v>
      </c>
      <c r="E1366" s="493" t="s">
        <v>874</v>
      </c>
      <c r="F1366" s="493" t="s">
        <v>757</v>
      </c>
      <c r="G1366" s="226">
        <v>1038532.16</v>
      </c>
      <c r="H1366" s="492">
        <v>42591</v>
      </c>
      <c r="I1366" s="492">
        <v>42809</v>
      </c>
      <c r="J1366" s="494">
        <v>886358</v>
      </c>
    </row>
    <row r="1367" spans="1:10" ht="33" outlineLevel="1" x14ac:dyDescent="0.25">
      <c r="A1367" s="731"/>
      <c r="B1367" s="733"/>
      <c r="C1367" s="91" t="s">
        <v>501</v>
      </c>
      <c r="D1367" s="52">
        <v>8646000</v>
      </c>
      <c r="E1367" s="52" t="s">
        <v>1045</v>
      </c>
      <c r="F1367" s="91" t="s">
        <v>773</v>
      </c>
      <c r="G1367" s="149">
        <v>8646000</v>
      </c>
      <c r="H1367" s="75">
        <v>42699</v>
      </c>
      <c r="I1367" s="75">
        <v>42685</v>
      </c>
      <c r="J1367" s="52">
        <v>6341250.1500000004</v>
      </c>
    </row>
    <row r="1368" spans="1:10" ht="33" outlineLevel="1" x14ac:dyDescent="0.25">
      <c r="A1368" s="731"/>
      <c r="B1368" s="733"/>
      <c r="C1368" s="116" t="s">
        <v>37</v>
      </c>
      <c r="D1368" s="59">
        <v>484675.07</v>
      </c>
      <c r="E1368" s="63" t="s">
        <v>572</v>
      </c>
      <c r="F1368" s="60" t="s">
        <v>541</v>
      </c>
      <c r="G1368" s="61">
        <v>484675.07</v>
      </c>
      <c r="H1368" s="62">
        <v>42377</v>
      </c>
      <c r="I1368" s="62">
        <v>42377</v>
      </c>
      <c r="J1368" s="63">
        <v>484675.06999999995</v>
      </c>
    </row>
    <row r="1369" spans="1:10" ht="17.25" outlineLevel="1" thickBot="1" x14ac:dyDescent="0.3">
      <c r="A1369" s="686" t="s">
        <v>628</v>
      </c>
      <c r="B1369" s="687"/>
      <c r="C1369" s="156"/>
      <c r="D1369" s="157">
        <f>SUM(D1363:D1368)</f>
        <v>22420675.07</v>
      </c>
      <c r="E1369" s="88"/>
      <c r="F1369" s="88"/>
      <c r="G1369" s="158">
        <f>SUM(G1363:G1368)</f>
        <v>20374216.57</v>
      </c>
      <c r="H1369" s="88"/>
      <c r="I1369" s="130"/>
      <c r="J1369" s="157">
        <f>SUM(J1363:J1368)</f>
        <v>17555326.289999999</v>
      </c>
    </row>
    <row r="1370" spans="1:10" s="4" customFormat="1" ht="45" customHeight="1" x14ac:dyDescent="0.25">
      <c r="A1370" s="734">
        <v>7</v>
      </c>
      <c r="B1370" s="732" t="s">
        <v>301</v>
      </c>
      <c r="C1370" s="70" t="s">
        <v>38</v>
      </c>
      <c r="D1370" s="129">
        <v>2150000</v>
      </c>
      <c r="E1370" s="240" t="s">
        <v>874</v>
      </c>
      <c r="F1370" s="240" t="s">
        <v>757</v>
      </c>
      <c r="G1370" s="241">
        <v>1506829.32</v>
      </c>
      <c r="H1370" s="50">
        <v>42591</v>
      </c>
      <c r="I1370" s="472">
        <v>42783</v>
      </c>
      <c r="J1370" s="227">
        <v>1395732.71</v>
      </c>
    </row>
    <row r="1371" spans="1:10" ht="33" outlineLevel="1" x14ac:dyDescent="0.25">
      <c r="A1371" s="731"/>
      <c r="B1371" s="733"/>
      <c r="C1371" s="91" t="s">
        <v>34</v>
      </c>
      <c r="D1371" s="52">
        <v>8030000</v>
      </c>
      <c r="E1371" s="91" t="s">
        <v>874</v>
      </c>
      <c r="F1371" s="91" t="s">
        <v>757</v>
      </c>
      <c r="G1371" s="52">
        <v>6571637.1200000001</v>
      </c>
      <c r="H1371" s="75">
        <v>42591</v>
      </c>
      <c r="I1371" s="75">
        <v>42731</v>
      </c>
      <c r="J1371" s="52">
        <v>5947972.4100000001</v>
      </c>
    </row>
    <row r="1372" spans="1:10" ht="33" outlineLevel="1" x14ac:dyDescent="0.25">
      <c r="A1372" s="731"/>
      <c r="B1372" s="733"/>
      <c r="C1372" s="91" t="s">
        <v>35</v>
      </c>
      <c r="D1372" s="91">
        <v>1872000</v>
      </c>
      <c r="E1372" s="91" t="s">
        <v>874</v>
      </c>
      <c r="F1372" s="91" t="s">
        <v>757</v>
      </c>
      <c r="G1372" s="52">
        <v>1213106.08</v>
      </c>
      <c r="H1372" s="75">
        <v>42591</v>
      </c>
      <c r="I1372" s="476">
        <v>42783</v>
      </c>
      <c r="J1372" s="52">
        <v>768047.33</v>
      </c>
    </row>
    <row r="1373" spans="1:10" ht="33" outlineLevel="1" x14ac:dyDescent="0.25">
      <c r="A1373" s="731"/>
      <c r="B1373" s="733"/>
      <c r="C1373" s="91" t="s">
        <v>36</v>
      </c>
      <c r="D1373" s="52">
        <v>1238000</v>
      </c>
      <c r="E1373" s="91" t="s">
        <v>874</v>
      </c>
      <c r="F1373" s="91" t="s">
        <v>757</v>
      </c>
      <c r="G1373" s="52">
        <v>741032.92</v>
      </c>
      <c r="H1373" s="92">
        <v>42591</v>
      </c>
      <c r="I1373" s="569">
        <v>42853</v>
      </c>
      <c r="J1373" s="52">
        <v>486168.13</v>
      </c>
    </row>
    <row r="1374" spans="1:10" ht="33" outlineLevel="1" x14ac:dyDescent="0.25">
      <c r="A1374" s="731"/>
      <c r="B1374" s="733"/>
      <c r="C1374" s="91" t="s">
        <v>500</v>
      </c>
      <c r="D1374" s="52">
        <v>4609168</v>
      </c>
      <c r="E1374" s="52" t="s">
        <v>745</v>
      </c>
      <c r="F1374" s="91" t="s">
        <v>746</v>
      </c>
      <c r="G1374" s="245">
        <v>4761255.83</v>
      </c>
      <c r="H1374" s="75">
        <v>42170</v>
      </c>
      <c r="I1374" s="75">
        <v>42561</v>
      </c>
      <c r="J1374" s="52">
        <v>4609168</v>
      </c>
    </row>
    <row r="1375" spans="1:10" ht="33" outlineLevel="1" x14ac:dyDescent="0.25">
      <c r="A1375" s="731"/>
      <c r="B1375" s="733"/>
      <c r="C1375" s="140" t="s">
        <v>501</v>
      </c>
      <c r="D1375" s="121">
        <v>12510000</v>
      </c>
      <c r="E1375" s="57" t="s">
        <v>1037</v>
      </c>
      <c r="F1375" s="194" t="s">
        <v>800</v>
      </c>
      <c r="G1375" s="207">
        <v>11473363.33</v>
      </c>
      <c r="H1375" s="55">
        <v>42911</v>
      </c>
      <c r="I1375" s="56"/>
      <c r="J1375" s="57"/>
    </row>
    <row r="1376" spans="1:10" ht="33" outlineLevel="1" x14ac:dyDescent="0.25">
      <c r="A1376" s="731"/>
      <c r="B1376" s="733"/>
      <c r="C1376" s="116" t="s">
        <v>37</v>
      </c>
      <c r="D1376" s="59">
        <v>592785.06999999995</v>
      </c>
      <c r="E1376" s="63" t="s">
        <v>572</v>
      </c>
      <c r="F1376" s="60" t="s">
        <v>541</v>
      </c>
      <c r="G1376" s="61">
        <v>592785.06999999995</v>
      </c>
      <c r="H1376" s="62">
        <v>42377</v>
      </c>
      <c r="I1376" s="62">
        <v>42377</v>
      </c>
      <c r="J1376" s="63">
        <v>592785.06999999995</v>
      </c>
    </row>
    <row r="1377" spans="1:10" ht="17.25" outlineLevel="1" thickBot="1" x14ac:dyDescent="0.3">
      <c r="A1377" s="686" t="s">
        <v>628</v>
      </c>
      <c r="B1377" s="687"/>
      <c r="C1377" s="156"/>
      <c r="D1377" s="157">
        <f>SUM(D1370:D1376)</f>
        <v>31001953.07</v>
      </c>
      <c r="E1377" s="88"/>
      <c r="F1377" s="88"/>
      <c r="G1377" s="158">
        <f>SUM(G1370:G1376)</f>
        <v>26860009.670000002</v>
      </c>
      <c r="H1377" s="88"/>
      <c r="I1377" s="130"/>
      <c r="J1377" s="157">
        <f>SUM(J1370:J1376)</f>
        <v>13799873.65</v>
      </c>
    </row>
    <row r="1378" spans="1:10" s="4" customFormat="1" ht="33" x14ac:dyDescent="0.25">
      <c r="A1378" s="734">
        <v>8</v>
      </c>
      <c r="B1378" s="732" t="s">
        <v>302</v>
      </c>
      <c r="C1378" s="70" t="s">
        <v>38</v>
      </c>
      <c r="D1378" s="227">
        <v>2150000</v>
      </c>
      <c r="E1378" s="240" t="s">
        <v>874</v>
      </c>
      <c r="F1378" s="240" t="s">
        <v>757</v>
      </c>
      <c r="G1378" s="241">
        <v>1506829.32</v>
      </c>
      <c r="H1378" s="72">
        <v>42591</v>
      </c>
      <c r="I1378" s="472">
        <v>42783</v>
      </c>
      <c r="J1378" s="477">
        <v>1395732.71</v>
      </c>
    </row>
    <row r="1379" spans="1:10" ht="33" outlineLevel="1" x14ac:dyDescent="0.25">
      <c r="A1379" s="731"/>
      <c r="B1379" s="733"/>
      <c r="C1379" s="91" t="s">
        <v>34</v>
      </c>
      <c r="D1379" s="52">
        <v>8030000</v>
      </c>
      <c r="E1379" s="91" t="s">
        <v>874</v>
      </c>
      <c r="F1379" s="91" t="s">
        <v>757</v>
      </c>
      <c r="G1379" s="52">
        <v>6571637.1200000001</v>
      </c>
      <c r="H1379" s="75">
        <v>42591</v>
      </c>
      <c r="I1379" s="75">
        <v>42731</v>
      </c>
      <c r="J1379" s="52">
        <v>6221103.0899999999</v>
      </c>
    </row>
    <row r="1380" spans="1:10" ht="33" outlineLevel="1" x14ac:dyDescent="0.25">
      <c r="A1380" s="731"/>
      <c r="B1380" s="733"/>
      <c r="C1380" s="91" t="s">
        <v>35</v>
      </c>
      <c r="D1380" s="52">
        <v>1872000</v>
      </c>
      <c r="E1380" s="91" t="s">
        <v>874</v>
      </c>
      <c r="F1380" s="91" t="s">
        <v>757</v>
      </c>
      <c r="G1380" s="52">
        <v>1213106.5</v>
      </c>
      <c r="H1380" s="75">
        <v>42591</v>
      </c>
      <c r="I1380" s="476">
        <v>42783</v>
      </c>
      <c r="J1380" s="52">
        <v>931692</v>
      </c>
    </row>
    <row r="1381" spans="1:10" ht="33" outlineLevel="1" x14ac:dyDescent="0.25">
      <c r="A1381" s="731"/>
      <c r="B1381" s="733"/>
      <c r="C1381" s="91" t="s">
        <v>36</v>
      </c>
      <c r="D1381" s="52">
        <v>1238000</v>
      </c>
      <c r="E1381" s="91" t="s">
        <v>874</v>
      </c>
      <c r="F1381" s="91" t="s">
        <v>757</v>
      </c>
      <c r="G1381" s="52">
        <v>741032.92</v>
      </c>
      <c r="H1381" s="75">
        <v>42591</v>
      </c>
      <c r="I1381" s="612">
        <v>42880</v>
      </c>
      <c r="J1381" s="52">
        <v>508109.23</v>
      </c>
    </row>
    <row r="1382" spans="1:10" ht="33" outlineLevel="1" x14ac:dyDescent="0.25">
      <c r="A1382" s="731"/>
      <c r="B1382" s="733"/>
      <c r="C1382" s="91" t="s">
        <v>500</v>
      </c>
      <c r="D1382" s="52">
        <v>4585133</v>
      </c>
      <c r="E1382" s="52" t="s">
        <v>745</v>
      </c>
      <c r="F1382" s="91" t="s">
        <v>746</v>
      </c>
      <c r="G1382" s="52">
        <v>4778556.5</v>
      </c>
      <c r="H1382" s="75">
        <v>42170</v>
      </c>
      <c r="I1382" s="75">
        <v>42561</v>
      </c>
      <c r="J1382" s="52">
        <v>4585133</v>
      </c>
    </row>
    <row r="1383" spans="1:10" ht="33" outlineLevel="1" x14ac:dyDescent="0.25">
      <c r="A1383" s="731"/>
      <c r="B1383" s="733"/>
      <c r="C1383" s="140" t="s">
        <v>501</v>
      </c>
      <c r="D1383" s="121">
        <v>12910000</v>
      </c>
      <c r="E1383" s="57" t="s">
        <v>1037</v>
      </c>
      <c r="F1383" s="194" t="s">
        <v>800</v>
      </c>
      <c r="G1383" s="207">
        <v>11887760.33</v>
      </c>
      <c r="H1383" s="55">
        <v>42911</v>
      </c>
      <c r="I1383" s="56"/>
      <c r="J1383" s="57"/>
    </row>
    <row r="1384" spans="1:10" ht="33" outlineLevel="1" x14ac:dyDescent="0.25">
      <c r="A1384" s="731"/>
      <c r="B1384" s="733"/>
      <c r="C1384" s="116" t="s">
        <v>37</v>
      </c>
      <c r="D1384" s="59">
        <v>590457.93000000005</v>
      </c>
      <c r="E1384" s="63" t="s">
        <v>572</v>
      </c>
      <c r="F1384" s="60" t="s">
        <v>541</v>
      </c>
      <c r="G1384" s="61">
        <v>590457.93999999994</v>
      </c>
      <c r="H1384" s="62">
        <v>42377</v>
      </c>
      <c r="I1384" s="62">
        <v>42377</v>
      </c>
      <c r="J1384" s="63">
        <v>590457.93000000005</v>
      </c>
    </row>
    <row r="1385" spans="1:10" ht="17.25" outlineLevel="1" thickBot="1" x14ac:dyDescent="0.3">
      <c r="A1385" s="724" t="s">
        <v>628</v>
      </c>
      <c r="B1385" s="725"/>
      <c r="C1385" s="164"/>
      <c r="D1385" s="157">
        <f>SUM(D1378:D1384)</f>
        <v>31375590.93</v>
      </c>
      <c r="E1385" s="90"/>
      <c r="F1385" s="90"/>
      <c r="G1385" s="158">
        <f>SUM(G1378:G1384)</f>
        <v>27289380.630000003</v>
      </c>
      <c r="H1385" s="90"/>
      <c r="I1385" s="108"/>
      <c r="J1385" s="157">
        <f>SUM(J1378:J1384)</f>
        <v>14232227.960000001</v>
      </c>
    </row>
    <row r="1386" spans="1:10" s="4" customFormat="1" ht="33" x14ac:dyDescent="0.25">
      <c r="A1386" s="734">
        <v>9</v>
      </c>
      <c r="B1386" s="732" t="s">
        <v>303</v>
      </c>
      <c r="C1386" s="70" t="s">
        <v>38</v>
      </c>
      <c r="D1386" s="51">
        <v>2150000</v>
      </c>
      <c r="E1386" s="70" t="s">
        <v>910</v>
      </c>
      <c r="F1386" s="240" t="s">
        <v>757</v>
      </c>
      <c r="G1386" s="148">
        <v>1502829.32</v>
      </c>
      <c r="H1386" s="72">
        <v>42591</v>
      </c>
      <c r="I1386" s="348"/>
      <c r="J1386" s="51">
        <v>1395732.71</v>
      </c>
    </row>
    <row r="1387" spans="1:10" ht="33" outlineLevel="1" x14ac:dyDescent="0.25">
      <c r="A1387" s="731"/>
      <c r="B1387" s="733"/>
      <c r="C1387" s="91" t="s">
        <v>34</v>
      </c>
      <c r="D1387" s="52">
        <v>8030000</v>
      </c>
      <c r="E1387" s="221" t="s">
        <v>910</v>
      </c>
      <c r="F1387" s="220" t="s">
        <v>757</v>
      </c>
      <c r="G1387" s="149">
        <v>6571637.1200000001</v>
      </c>
      <c r="H1387" s="75">
        <v>42591</v>
      </c>
      <c r="I1387" s="75">
        <v>42731</v>
      </c>
      <c r="J1387" s="52">
        <v>6607169.8099999996</v>
      </c>
    </row>
    <row r="1388" spans="1:10" ht="33" outlineLevel="1" x14ac:dyDescent="0.25">
      <c r="A1388" s="731"/>
      <c r="B1388" s="733"/>
      <c r="C1388" s="91" t="s">
        <v>35</v>
      </c>
      <c r="D1388" s="52">
        <v>1872000</v>
      </c>
      <c r="E1388" s="91" t="s">
        <v>910</v>
      </c>
      <c r="F1388" s="91" t="s">
        <v>757</v>
      </c>
      <c r="G1388" s="149">
        <v>995123.5</v>
      </c>
      <c r="H1388" s="75">
        <v>42591</v>
      </c>
      <c r="I1388" s="347"/>
      <c r="J1388" s="52">
        <v>796572.29</v>
      </c>
    </row>
    <row r="1389" spans="1:10" s="24" customFormat="1" ht="33" outlineLevel="1" x14ac:dyDescent="0.25">
      <c r="A1389" s="731"/>
      <c r="B1389" s="733"/>
      <c r="C1389" s="570" t="s">
        <v>36</v>
      </c>
      <c r="D1389" s="568">
        <v>1238000</v>
      </c>
      <c r="E1389" s="570" t="s">
        <v>910</v>
      </c>
      <c r="F1389" s="566" t="s">
        <v>757</v>
      </c>
      <c r="G1389" s="149">
        <v>741032.92</v>
      </c>
      <c r="H1389" s="569">
        <v>42591</v>
      </c>
      <c r="I1389" s="569">
        <v>42853</v>
      </c>
      <c r="J1389" s="568">
        <v>524191.91</v>
      </c>
    </row>
    <row r="1390" spans="1:10" ht="33" outlineLevel="1" x14ac:dyDescent="0.25">
      <c r="A1390" s="731"/>
      <c r="B1390" s="733"/>
      <c r="C1390" s="91" t="s">
        <v>500</v>
      </c>
      <c r="D1390" s="52">
        <v>5208159.55</v>
      </c>
      <c r="E1390" s="52" t="s">
        <v>735</v>
      </c>
      <c r="F1390" s="91" t="s">
        <v>736</v>
      </c>
      <c r="G1390" s="149">
        <v>4734867.6100000003</v>
      </c>
      <c r="H1390" s="75">
        <v>42521</v>
      </c>
      <c r="I1390" s="75">
        <v>42558</v>
      </c>
      <c r="J1390" s="52">
        <v>5208159.5500000007</v>
      </c>
    </row>
    <row r="1391" spans="1:10" ht="33" outlineLevel="1" x14ac:dyDescent="0.25">
      <c r="A1391" s="731"/>
      <c r="B1391" s="733"/>
      <c r="C1391" s="140" t="s">
        <v>501</v>
      </c>
      <c r="D1391" s="121">
        <v>12620000</v>
      </c>
      <c r="E1391" s="57" t="s">
        <v>1037</v>
      </c>
      <c r="F1391" s="194" t="s">
        <v>800</v>
      </c>
      <c r="G1391" s="207">
        <v>11577155.75</v>
      </c>
      <c r="H1391" s="55">
        <v>42911</v>
      </c>
      <c r="I1391" s="56"/>
      <c r="J1391" s="57"/>
    </row>
    <row r="1392" spans="1:10" ht="33" outlineLevel="1" x14ac:dyDescent="0.25">
      <c r="A1392" s="731"/>
      <c r="B1392" s="733"/>
      <c r="C1392" s="116" t="s">
        <v>37</v>
      </c>
      <c r="D1392" s="59">
        <v>590457.93000000005</v>
      </c>
      <c r="E1392" s="63" t="s">
        <v>572</v>
      </c>
      <c r="F1392" s="60" t="s">
        <v>541</v>
      </c>
      <c r="G1392" s="61">
        <v>590457.93999999994</v>
      </c>
      <c r="H1392" s="62">
        <v>42377</v>
      </c>
      <c r="I1392" s="62">
        <v>42377</v>
      </c>
      <c r="J1392" s="63">
        <v>590457.93000000005</v>
      </c>
    </row>
    <row r="1393" spans="1:10" ht="17.25" outlineLevel="1" thickBot="1" x14ac:dyDescent="0.3">
      <c r="A1393" s="686" t="s">
        <v>628</v>
      </c>
      <c r="B1393" s="687"/>
      <c r="C1393" s="156"/>
      <c r="D1393" s="157">
        <f>SUM(D1386:D1392)</f>
        <v>31708617.48</v>
      </c>
      <c r="E1393" s="88"/>
      <c r="F1393" s="88"/>
      <c r="G1393" s="158">
        <f>SUM(G1386:G1392)</f>
        <v>26713104.160000004</v>
      </c>
      <c r="H1393" s="88"/>
      <c r="I1393" s="130"/>
      <c r="J1393" s="157">
        <f>SUM(J1386:J1392)</f>
        <v>15122284.199999999</v>
      </c>
    </row>
    <row r="1394" spans="1:10" s="4" customFormat="1" ht="33" x14ac:dyDescent="0.25">
      <c r="A1394" s="734">
        <v>10</v>
      </c>
      <c r="B1394" s="732" t="s">
        <v>304</v>
      </c>
      <c r="C1394" s="70" t="s">
        <v>38</v>
      </c>
      <c r="D1394" s="51">
        <v>2150000</v>
      </c>
      <c r="E1394" s="240" t="s">
        <v>910</v>
      </c>
      <c r="F1394" s="240" t="s">
        <v>757</v>
      </c>
      <c r="G1394" s="148">
        <v>1506829.32</v>
      </c>
      <c r="H1394" s="72">
        <v>42591</v>
      </c>
      <c r="I1394" s="348"/>
      <c r="J1394" s="51">
        <v>1274953.3700000001</v>
      </c>
    </row>
    <row r="1395" spans="1:10" ht="33" outlineLevel="1" x14ac:dyDescent="0.25">
      <c r="A1395" s="731"/>
      <c r="B1395" s="733"/>
      <c r="C1395" s="91" t="s">
        <v>35</v>
      </c>
      <c r="D1395" s="52">
        <v>1872000</v>
      </c>
      <c r="E1395" s="220" t="s">
        <v>910</v>
      </c>
      <c r="F1395" s="220" t="s">
        <v>757</v>
      </c>
      <c r="G1395" s="149">
        <v>995123.5</v>
      </c>
      <c r="H1395" s="75">
        <v>42591</v>
      </c>
      <c r="I1395" s="569">
        <v>42853</v>
      </c>
      <c r="J1395" s="52">
        <v>573871.04</v>
      </c>
    </row>
    <row r="1396" spans="1:10" ht="33" outlineLevel="1" x14ac:dyDescent="0.25">
      <c r="A1396" s="731"/>
      <c r="B1396" s="733"/>
      <c r="C1396" s="609" t="s">
        <v>36</v>
      </c>
      <c r="D1396" s="610">
        <v>1238000</v>
      </c>
      <c r="E1396" s="609" t="s">
        <v>910</v>
      </c>
      <c r="F1396" s="609" t="s">
        <v>757</v>
      </c>
      <c r="G1396" s="149">
        <v>741032.92</v>
      </c>
      <c r="H1396" s="612">
        <v>42591</v>
      </c>
      <c r="I1396" s="612">
        <v>42880</v>
      </c>
      <c r="J1396" s="610">
        <v>423338.28</v>
      </c>
    </row>
    <row r="1397" spans="1:10" ht="33" outlineLevel="1" x14ac:dyDescent="0.25">
      <c r="A1397" s="731"/>
      <c r="B1397" s="733"/>
      <c r="C1397" s="91" t="s">
        <v>500</v>
      </c>
      <c r="D1397" s="52">
        <v>5171195.05</v>
      </c>
      <c r="E1397" s="52" t="s">
        <v>735</v>
      </c>
      <c r="F1397" s="91" t="s">
        <v>736</v>
      </c>
      <c r="G1397" s="149">
        <v>4770291.1399999997</v>
      </c>
      <c r="H1397" s="75">
        <v>42521</v>
      </c>
      <c r="I1397" s="75">
        <v>42558</v>
      </c>
      <c r="J1397" s="52">
        <v>5171195.05</v>
      </c>
    </row>
    <row r="1398" spans="1:10" ht="33" outlineLevel="1" x14ac:dyDescent="0.25">
      <c r="A1398" s="731"/>
      <c r="B1398" s="733"/>
      <c r="C1398" s="140" t="s">
        <v>501</v>
      </c>
      <c r="D1398" s="121">
        <v>10418000</v>
      </c>
      <c r="E1398" s="57" t="s">
        <v>1058</v>
      </c>
      <c r="F1398" s="194" t="s">
        <v>721</v>
      </c>
      <c r="G1398" s="207">
        <v>9404237.1600000001</v>
      </c>
      <c r="H1398" s="55">
        <v>42911</v>
      </c>
      <c r="I1398" s="56"/>
      <c r="J1398" s="57"/>
    </row>
    <row r="1399" spans="1:10" ht="33" outlineLevel="1" x14ac:dyDescent="0.25">
      <c r="A1399" s="731"/>
      <c r="B1399" s="733"/>
      <c r="C1399" s="116" t="s">
        <v>37</v>
      </c>
      <c r="D1399" s="59">
        <v>590457.93000000005</v>
      </c>
      <c r="E1399" s="63" t="s">
        <v>572</v>
      </c>
      <c r="F1399" s="60" t="s">
        <v>541</v>
      </c>
      <c r="G1399" s="61">
        <v>590457.93999999994</v>
      </c>
      <c r="H1399" s="62">
        <v>42377</v>
      </c>
      <c r="I1399" s="62">
        <v>42377</v>
      </c>
      <c r="J1399" s="63">
        <v>590457.93000000005</v>
      </c>
    </row>
    <row r="1400" spans="1:10" ht="17.25" outlineLevel="1" thickBot="1" x14ac:dyDescent="0.3">
      <c r="A1400" s="686" t="s">
        <v>628</v>
      </c>
      <c r="B1400" s="687"/>
      <c r="C1400" s="156"/>
      <c r="D1400" s="157">
        <f>SUM(D1394:D1399)</f>
        <v>21439652.98</v>
      </c>
      <c r="E1400" s="88"/>
      <c r="F1400" s="88"/>
      <c r="G1400" s="158">
        <f>SUM(G1394:G1399)</f>
        <v>18007971.98</v>
      </c>
      <c r="H1400" s="88"/>
      <c r="I1400" s="130"/>
      <c r="J1400" s="157">
        <f>SUM(J1394:J1399)</f>
        <v>8033815.6699999999</v>
      </c>
    </row>
    <row r="1401" spans="1:10" s="4" customFormat="1" ht="33" x14ac:dyDescent="0.25">
      <c r="A1401" s="734">
        <v>11</v>
      </c>
      <c r="B1401" s="732" t="s">
        <v>9</v>
      </c>
      <c r="C1401" s="159" t="s">
        <v>501</v>
      </c>
      <c r="D1401" s="160">
        <v>2590000</v>
      </c>
      <c r="E1401" s="57" t="s">
        <v>1058</v>
      </c>
      <c r="F1401" s="194" t="s">
        <v>721</v>
      </c>
      <c r="G1401" s="207">
        <v>2287777.81</v>
      </c>
      <c r="H1401" s="55">
        <v>42889</v>
      </c>
      <c r="I1401" s="84"/>
      <c r="J1401" s="85"/>
    </row>
    <row r="1402" spans="1:10" ht="33" outlineLevel="1" x14ac:dyDescent="0.25">
      <c r="A1402" s="731"/>
      <c r="B1402" s="733"/>
      <c r="C1402" s="150" t="s">
        <v>37</v>
      </c>
      <c r="D1402" s="151">
        <v>51580</v>
      </c>
      <c r="E1402" s="155" t="s">
        <v>576</v>
      </c>
      <c r="F1402" s="152" t="s">
        <v>541</v>
      </c>
      <c r="G1402" s="153">
        <v>51581.16</v>
      </c>
      <c r="H1402" s="154">
        <v>42429</v>
      </c>
      <c r="I1402" s="154">
        <v>42593</v>
      </c>
      <c r="J1402" s="155">
        <v>51581.15</v>
      </c>
    </row>
    <row r="1403" spans="1:10" ht="17.25" outlineLevel="1" thickBot="1" x14ac:dyDescent="0.3">
      <c r="A1403" s="686" t="s">
        <v>628</v>
      </c>
      <c r="B1403" s="687"/>
      <c r="C1403" s="156"/>
      <c r="D1403" s="157">
        <f>SUM(D1401:D1402)</f>
        <v>2641580</v>
      </c>
      <c r="E1403" s="88"/>
      <c r="F1403" s="88"/>
      <c r="G1403" s="158">
        <f>SUM(G1401:G1402)</f>
        <v>2339358.9700000002</v>
      </c>
      <c r="H1403" s="88"/>
      <c r="I1403" s="130"/>
      <c r="J1403" s="157">
        <f t="shared" ref="J1403" si="36">SUM(J1401:J1402)</f>
        <v>51581.15</v>
      </c>
    </row>
    <row r="1404" spans="1:10" s="4" customFormat="1" ht="33" x14ac:dyDescent="0.25">
      <c r="A1404" s="734">
        <v>12</v>
      </c>
      <c r="B1404" s="732" t="s">
        <v>305</v>
      </c>
      <c r="C1404" s="70" t="s">
        <v>38</v>
      </c>
      <c r="D1404" s="52">
        <v>2150000</v>
      </c>
      <c r="E1404" s="240" t="s">
        <v>910</v>
      </c>
      <c r="F1404" s="70" t="s">
        <v>757</v>
      </c>
      <c r="G1404" s="148">
        <v>1924490.04</v>
      </c>
      <c r="H1404" s="72">
        <v>42591</v>
      </c>
      <c r="I1404" s="348"/>
      <c r="J1404" s="51">
        <v>1768960.78</v>
      </c>
    </row>
    <row r="1405" spans="1:10" ht="33" outlineLevel="1" x14ac:dyDescent="0.25">
      <c r="A1405" s="731"/>
      <c r="B1405" s="733"/>
      <c r="C1405" s="91" t="s">
        <v>34</v>
      </c>
      <c r="D1405" s="52">
        <v>8030000</v>
      </c>
      <c r="E1405" s="220" t="s">
        <v>910</v>
      </c>
      <c r="F1405" s="221" t="s">
        <v>757</v>
      </c>
      <c r="G1405" s="245">
        <v>6804967.96</v>
      </c>
      <c r="H1405" s="75">
        <v>42591</v>
      </c>
      <c r="I1405" s="75">
        <v>42731</v>
      </c>
      <c r="J1405" s="52">
        <v>7882905.3200000003</v>
      </c>
    </row>
    <row r="1406" spans="1:10" ht="33" outlineLevel="1" x14ac:dyDescent="0.25">
      <c r="A1406" s="731"/>
      <c r="B1406" s="733"/>
      <c r="C1406" s="91" t="s">
        <v>35</v>
      </c>
      <c r="D1406" s="52">
        <v>1872000</v>
      </c>
      <c r="E1406" s="91" t="s">
        <v>910</v>
      </c>
      <c r="F1406" s="220" t="s">
        <v>757</v>
      </c>
      <c r="G1406" s="149">
        <v>1328431.02</v>
      </c>
      <c r="H1406" s="75">
        <v>42591</v>
      </c>
      <c r="I1406" s="347"/>
      <c r="J1406" s="52">
        <v>1137504.98</v>
      </c>
    </row>
    <row r="1407" spans="1:10" s="24" customFormat="1" ht="33" outlineLevel="1" x14ac:dyDescent="0.25">
      <c r="A1407" s="731"/>
      <c r="B1407" s="733"/>
      <c r="C1407" s="570" t="s">
        <v>36</v>
      </c>
      <c r="D1407" s="568">
        <v>1238000</v>
      </c>
      <c r="E1407" s="566" t="s">
        <v>910</v>
      </c>
      <c r="F1407" s="570" t="s">
        <v>757</v>
      </c>
      <c r="G1407" s="149">
        <v>1015065.5</v>
      </c>
      <c r="H1407" s="569">
        <v>42591</v>
      </c>
      <c r="I1407" s="569">
        <v>42853</v>
      </c>
      <c r="J1407" s="568">
        <v>954235.39</v>
      </c>
    </row>
    <row r="1408" spans="1:10" ht="30" customHeight="1" outlineLevel="1" x14ac:dyDescent="0.25">
      <c r="A1408" s="731"/>
      <c r="B1408" s="733"/>
      <c r="C1408" s="140" t="s">
        <v>501</v>
      </c>
      <c r="D1408" s="121">
        <v>16980000</v>
      </c>
      <c r="E1408" s="57" t="s">
        <v>1037</v>
      </c>
      <c r="F1408" s="194" t="s">
        <v>800</v>
      </c>
      <c r="G1408" s="207">
        <v>15861720.59</v>
      </c>
      <c r="H1408" s="55">
        <v>42911</v>
      </c>
      <c r="I1408" s="56"/>
      <c r="J1408" s="57"/>
    </row>
    <row r="1409" spans="1:10" ht="33" outlineLevel="1" x14ac:dyDescent="0.25">
      <c r="A1409" s="731"/>
      <c r="B1409" s="733"/>
      <c r="C1409" s="116" t="s">
        <v>37</v>
      </c>
      <c r="D1409" s="59">
        <v>502082.62</v>
      </c>
      <c r="E1409" s="63" t="s">
        <v>572</v>
      </c>
      <c r="F1409" s="60" t="s">
        <v>541</v>
      </c>
      <c r="G1409" s="61">
        <v>502082.62</v>
      </c>
      <c r="H1409" s="62">
        <v>42377</v>
      </c>
      <c r="I1409" s="62">
        <v>42377</v>
      </c>
      <c r="J1409" s="63">
        <v>502082.62</v>
      </c>
    </row>
    <row r="1410" spans="1:10" ht="17.25" outlineLevel="1" thickBot="1" x14ac:dyDescent="0.3">
      <c r="A1410" s="686" t="s">
        <v>628</v>
      </c>
      <c r="B1410" s="687"/>
      <c r="C1410" s="156"/>
      <c r="D1410" s="157">
        <f>SUM(D1404:D1409)</f>
        <v>30772082.620000001</v>
      </c>
      <c r="E1410" s="88"/>
      <c r="F1410" s="88"/>
      <c r="G1410" s="158">
        <f>SUM(G1404:G1409)</f>
        <v>27436757.73</v>
      </c>
      <c r="H1410" s="88"/>
      <c r="I1410" s="130"/>
      <c r="J1410" s="157">
        <f>SUM(J1404:J1409)</f>
        <v>12245689.09</v>
      </c>
    </row>
    <row r="1411" spans="1:10" s="4" customFormat="1" ht="33" x14ac:dyDescent="0.25">
      <c r="A1411" s="734">
        <v>13</v>
      </c>
      <c r="B1411" s="732" t="s">
        <v>571</v>
      </c>
      <c r="C1411" s="70" t="s">
        <v>500</v>
      </c>
      <c r="D1411" s="51">
        <v>5865217</v>
      </c>
      <c r="E1411" s="70" t="s">
        <v>846</v>
      </c>
      <c r="F1411" s="70" t="s">
        <v>847</v>
      </c>
      <c r="G1411" s="148">
        <v>5865217</v>
      </c>
      <c r="H1411" s="50">
        <v>42640</v>
      </c>
      <c r="I1411" s="50">
        <v>42662</v>
      </c>
      <c r="J1411" s="51">
        <v>5408527.6399999997</v>
      </c>
    </row>
    <row r="1412" spans="1:10" ht="33" outlineLevel="1" x14ac:dyDescent="0.25">
      <c r="A1412" s="731"/>
      <c r="B1412" s="733"/>
      <c r="C1412" s="150" t="s">
        <v>37</v>
      </c>
      <c r="D1412" s="151">
        <v>81960.679999999993</v>
      </c>
      <c r="E1412" s="155" t="s">
        <v>575</v>
      </c>
      <c r="F1412" s="152" t="s">
        <v>541</v>
      </c>
      <c r="G1412" s="153">
        <v>81960.679999999993</v>
      </c>
      <c r="H1412" s="154">
        <v>42429</v>
      </c>
      <c r="I1412" s="154">
        <v>42593</v>
      </c>
      <c r="J1412" s="155">
        <v>81960.679999999993</v>
      </c>
    </row>
    <row r="1413" spans="1:10" ht="17.25" outlineLevel="1" thickBot="1" x14ac:dyDescent="0.3">
      <c r="A1413" s="686" t="s">
        <v>628</v>
      </c>
      <c r="B1413" s="687"/>
      <c r="C1413" s="156"/>
      <c r="D1413" s="157">
        <f>SUM(D1411:D1412)</f>
        <v>5947177.6799999997</v>
      </c>
      <c r="E1413" s="88"/>
      <c r="F1413" s="88"/>
      <c r="G1413" s="158">
        <f>SUM(G1411:G1412)</f>
        <v>5947177.6799999997</v>
      </c>
      <c r="H1413" s="88"/>
      <c r="I1413" s="130"/>
      <c r="J1413" s="157">
        <f t="shared" ref="J1413" si="37">SUM(J1411:J1412)</f>
        <v>5490488.3199999994</v>
      </c>
    </row>
    <row r="1414" spans="1:10" s="22" customFormat="1" ht="33" x14ac:dyDescent="0.25">
      <c r="A1414" s="734">
        <v>14</v>
      </c>
      <c r="B1414" s="732" t="s">
        <v>10</v>
      </c>
      <c r="C1414" s="70" t="s">
        <v>34</v>
      </c>
      <c r="D1414" s="52">
        <v>3384963.34</v>
      </c>
      <c r="E1414" s="240" t="s">
        <v>910</v>
      </c>
      <c r="F1414" s="240" t="s">
        <v>757</v>
      </c>
      <c r="G1414" s="241">
        <v>3384963.34</v>
      </c>
      <c r="H1414" s="72">
        <v>42591</v>
      </c>
      <c r="I1414" s="50"/>
      <c r="J1414" s="51">
        <v>2962285.56</v>
      </c>
    </row>
    <row r="1415" spans="1:10" ht="33" outlineLevel="1" x14ac:dyDescent="0.25">
      <c r="A1415" s="731"/>
      <c r="B1415" s="733"/>
      <c r="C1415" s="194" t="s">
        <v>35</v>
      </c>
      <c r="D1415" s="604">
        <v>589873.74</v>
      </c>
      <c r="E1415" s="194" t="s">
        <v>910</v>
      </c>
      <c r="F1415" s="194" t="s">
        <v>757</v>
      </c>
      <c r="G1415" s="604">
        <v>589873.74</v>
      </c>
      <c r="H1415" s="605">
        <v>42591</v>
      </c>
      <c r="I1415" s="56"/>
      <c r="J1415" s="604"/>
    </row>
    <row r="1416" spans="1:10" ht="33" outlineLevel="1" x14ac:dyDescent="0.25">
      <c r="A1416" s="731"/>
      <c r="B1416" s="733"/>
      <c r="C1416" s="140" t="s">
        <v>36</v>
      </c>
      <c r="D1416" s="140">
        <v>409059.98</v>
      </c>
      <c r="E1416" s="161" t="s">
        <v>910</v>
      </c>
      <c r="F1416" s="161" t="s">
        <v>757</v>
      </c>
      <c r="G1416" s="162">
        <v>409059.98</v>
      </c>
      <c r="H1416" s="58">
        <v>42591</v>
      </c>
      <c r="I1416" s="56"/>
      <c r="J1416" s="57"/>
    </row>
    <row r="1417" spans="1:10" ht="33" outlineLevel="1" x14ac:dyDescent="0.25">
      <c r="A1417" s="731"/>
      <c r="B1417" s="733"/>
      <c r="C1417" s="116" t="s">
        <v>37</v>
      </c>
      <c r="D1417" s="59">
        <v>233307.35</v>
      </c>
      <c r="E1417" s="63" t="s">
        <v>572</v>
      </c>
      <c r="F1417" s="60" t="s">
        <v>541</v>
      </c>
      <c r="G1417" s="61">
        <v>233307.35</v>
      </c>
      <c r="H1417" s="62">
        <v>42377</v>
      </c>
      <c r="I1417" s="62">
        <v>42377</v>
      </c>
      <c r="J1417" s="63">
        <v>233307.35</v>
      </c>
    </row>
    <row r="1418" spans="1:10" ht="17.25" outlineLevel="1" thickBot="1" x14ac:dyDescent="0.3">
      <c r="A1418" s="724" t="s">
        <v>628</v>
      </c>
      <c r="B1418" s="725"/>
      <c r="C1418" s="164"/>
      <c r="D1418" s="165">
        <f>SUM(D1414:D1417)</f>
        <v>4617204.41</v>
      </c>
      <c r="E1418" s="90"/>
      <c r="F1418" s="90"/>
      <c r="G1418" s="166">
        <f>SUM(G1414:G1417)</f>
        <v>4617204.41</v>
      </c>
      <c r="H1418" s="90"/>
      <c r="I1418" s="108"/>
      <c r="J1418" s="165">
        <f>SUM(J1414:J1417)</f>
        <v>3195592.91</v>
      </c>
    </row>
    <row r="1419" spans="1:10" s="4" customFormat="1" ht="33" x14ac:dyDescent="0.25">
      <c r="A1419" s="734">
        <v>15</v>
      </c>
      <c r="B1419" s="732" t="s">
        <v>11</v>
      </c>
      <c r="C1419" s="652" t="s">
        <v>501</v>
      </c>
      <c r="D1419" s="51">
        <v>18820000</v>
      </c>
      <c r="E1419" s="651" t="s">
        <v>1058</v>
      </c>
      <c r="F1419" s="650" t="s">
        <v>721</v>
      </c>
      <c r="G1419" s="149">
        <v>17833479.800000001</v>
      </c>
      <c r="H1419" s="653">
        <v>42886</v>
      </c>
      <c r="I1419" s="649">
        <v>42900</v>
      </c>
      <c r="J1419" s="51">
        <v>16249580.51</v>
      </c>
    </row>
    <row r="1420" spans="1:10" ht="33" outlineLevel="1" x14ac:dyDescent="0.25">
      <c r="A1420" s="731"/>
      <c r="B1420" s="733"/>
      <c r="C1420" s="150" t="s">
        <v>37</v>
      </c>
      <c r="D1420" s="151">
        <v>85053.95</v>
      </c>
      <c r="E1420" s="155" t="s">
        <v>575</v>
      </c>
      <c r="F1420" s="152" t="s">
        <v>541</v>
      </c>
      <c r="G1420" s="153">
        <v>85053.94</v>
      </c>
      <c r="H1420" s="154">
        <v>42429</v>
      </c>
      <c r="I1420" s="154">
        <v>42593</v>
      </c>
      <c r="J1420" s="155">
        <v>85053.94</v>
      </c>
    </row>
    <row r="1421" spans="1:10" ht="17.25" outlineLevel="1" thickBot="1" x14ac:dyDescent="0.3">
      <c r="A1421" s="686" t="s">
        <v>628</v>
      </c>
      <c r="B1421" s="687"/>
      <c r="C1421" s="156"/>
      <c r="D1421" s="157">
        <f>SUM(D1419:D1420)</f>
        <v>18905053.949999999</v>
      </c>
      <c r="E1421" s="88"/>
      <c r="F1421" s="88"/>
      <c r="G1421" s="158">
        <f>SUM(G1419:G1420)</f>
        <v>17918533.740000002</v>
      </c>
      <c r="H1421" s="88"/>
      <c r="I1421" s="130"/>
      <c r="J1421" s="157">
        <f t="shared" ref="J1421" si="38">SUM(J1419:J1420)</f>
        <v>16334634.449999999</v>
      </c>
    </row>
    <row r="1422" spans="1:10" s="4" customFormat="1" ht="33" x14ac:dyDescent="0.25">
      <c r="A1422" s="734">
        <v>16</v>
      </c>
      <c r="B1422" s="732" t="s">
        <v>12</v>
      </c>
      <c r="C1422" s="353" t="s">
        <v>34</v>
      </c>
      <c r="D1422" s="350">
        <v>5585354.1799999997</v>
      </c>
      <c r="E1422" s="354" t="s">
        <v>912</v>
      </c>
      <c r="F1422" s="353" t="s">
        <v>757</v>
      </c>
      <c r="G1422" s="355">
        <v>5585354.1799999997</v>
      </c>
      <c r="H1422" s="356">
        <v>42591</v>
      </c>
      <c r="I1422" s="357"/>
      <c r="J1422" s="354">
        <v>4638908</v>
      </c>
    </row>
    <row r="1423" spans="1:10" ht="33" outlineLevel="1" x14ac:dyDescent="0.25">
      <c r="A1423" s="731"/>
      <c r="B1423" s="733"/>
      <c r="C1423" s="349" t="s">
        <v>35</v>
      </c>
      <c r="D1423" s="350">
        <v>818923.54</v>
      </c>
      <c r="E1423" s="359" t="s">
        <v>912</v>
      </c>
      <c r="F1423" s="349" t="s">
        <v>757</v>
      </c>
      <c r="G1423" s="360">
        <v>818923.54</v>
      </c>
      <c r="H1423" s="351">
        <v>42591</v>
      </c>
      <c r="I1423" s="352"/>
      <c r="J1423" s="350">
        <v>708397</v>
      </c>
    </row>
    <row r="1424" spans="1:10" ht="33" outlineLevel="1" x14ac:dyDescent="0.25">
      <c r="A1424" s="731"/>
      <c r="B1424" s="733"/>
      <c r="C1424" s="609" t="s">
        <v>36</v>
      </c>
      <c r="D1424" s="609">
        <v>606713.52</v>
      </c>
      <c r="E1424" s="610" t="s">
        <v>912</v>
      </c>
      <c r="F1424" s="607" t="s">
        <v>757</v>
      </c>
      <c r="G1424" s="149">
        <v>606713.52</v>
      </c>
      <c r="H1424" s="606">
        <v>42591</v>
      </c>
      <c r="I1424" s="612">
        <v>42880</v>
      </c>
      <c r="J1424" s="610">
        <v>96271.77</v>
      </c>
    </row>
    <row r="1425" spans="1:10" ht="33" outlineLevel="1" x14ac:dyDescent="0.25">
      <c r="A1425" s="731"/>
      <c r="B1425" s="733"/>
      <c r="C1425" s="116" t="s">
        <v>37</v>
      </c>
      <c r="D1425" s="63">
        <v>257824.96000000002</v>
      </c>
      <c r="E1425" s="63" t="s">
        <v>572</v>
      </c>
      <c r="F1425" s="60" t="s">
        <v>541</v>
      </c>
      <c r="G1425" s="237">
        <v>257824.96</v>
      </c>
      <c r="H1425" s="62">
        <v>42377</v>
      </c>
      <c r="I1425" s="62">
        <v>42377</v>
      </c>
      <c r="J1425" s="63">
        <v>257824.96000000002</v>
      </c>
    </row>
    <row r="1426" spans="1:10" ht="33" outlineLevel="1" x14ac:dyDescent="0.25">
      <c r="A1426" s="731"/>
      <c r="B1426" s="733"/>
      <c r="C1426" s="591" t="s">
        <v>501</v>
      </c>
      <c r="D1426" s="589">
        <v>16145000</v>
      </c>
      <c r="E1426" s="589" t="s">
        <v>1058</v>
      </c>
      <c r="F1426" s="591" t="s">
        <v>721</v>
      </c>
      <c r="G1426" s="149">
        <v>15121387.550000001</v>
      </c>
      <c r="H1426" s="590">
        <v>42898</v>
      </c>
      <c r="I1426" s="590">
        <v>42874</v>
      </c>
      <c r="J1426" s="589">
        <v>13156241.35</v>
      </c>
    </row>
    <row r="1427" spans="1:10" ht="33" outlineLevel="1" x14ac:dyDescent="0.25">
      <c r="A1427" s="731"/>
      <c r="B1427" s="733"/>
      <c r="C1427" s="150" t="s">
        <v>37</v>
      </c>
      <c r="D1427" s="151">
        <v>95536.23</v>
      </c>
      <c r="E1427" s="155" t="s">
        <v>575</v>
      </c>
      <c r="F1427" s="152" t="s">
        <v>541</v>
      </c>
      <c r="G1427" s="153">
        <v>95536.23</v>
      </c>
      <c r="H1427" s="154">
        <v>42429</v>
      </c>
      <c r="I1427" s="154">
        <v>42593</v>
      </c>
      <c r="J1427" s="155">
        <v>95536.23</v>
      </c>
    </row>
    <row r="1428" spans="1:10" ht="17.25" outlineLevel="1" thickBot="1" x14ac:dyDescent="0.3">
      <c r="A1428" s="686" t="s">
        <v>628</v>
      </c>
      <c r="B1428" s="687"/>
      <c r="C1428" s="156"/>
      <c r="D1428" s="157">
        <f>SUM(D1422:D1427)</f>
        <v>23509352.43</v>
      </c>
      <c r="E1428" s="88"/>
      <c r="F1428" s="88"/>
      <c r="G1428" s="158">
        <f>SUM(G1422:G1427)</f>
        <v>22485739.98</v>
      </c>
      <c r="H1428" s="88"/>
      <c r="I1428" s="130"/>
      <c r="J1428" s="157">
        <f>SUM(J1422:J1427)</f>
        <v>18953179.309999999</v>
      </c>
    </row>
    <row r="1429" spans="1:10" s="4" customFormat="1" ht="33" x14ac:dyDescent="0.25">
      <c r="A1429" s="734">
        <v>17</v>
      </c>
      <c r="B1429" s="732" t="s">
        <v>306</v>
      </c>
      <c r="C1429" s="652" t="s">
        <v>501</v>
      </c>
      <c r="D1429" s="51">
        <v>16230000</v>
      </c>
      <c r="E1429" s="651" t="s">
        <v>1058</v>
      </c>
      <c r="F1429" s="650" t="s">
        <v>721</v>
      </c>
      <c r="G1429" s="149">
        <v>15213117.68</v>
      </c>
      <c r="H1429" s="653">
        <v>42911</v>
      </c>
      <c r="I1429" s="649">
        <v>42900</v>
      </c>
      <c r="J1429" s="51">
        <v>13684016.08</v>
      </c>
    </row>
    <row r="1430" spans="1:10" ht="33" outlineLevel="1" x14ac:dyDescent="0.25">
      <c r="A1430" s="731"/>
      <c r="B1430" s="733"/>
      <c r="C1430" s="150" t="s">
        <v>37</v>
      </c>
      <c r="D1430" s="151">
        <v>95536.24</v>
      </c>
      <c r="E1430" s="155" t="s">
        <v>575</v>
      </c>
      <c r="F1430" s="152" t="s">
        <v>541</v>
      </c>
      <c r="G1430" s="153">
        <v>95536.23</v>
      </c>
      <c r="H1430" s="154">
        <v>42429</v>
      </c>
      <c r="I1430" s="154">
        <v>42593</v>
      </c>
      <c r="J1430" s="155">
        <v>95536.23</v>
      </c>
    </row>
    <row r="1431" spans="1:10" ht="17.25" outlineLevel="1" thickBot="1" x14ac:dyDescent="0.3">
      <c r="A1431" s="686" t="s">
        <v>628</v>
      </c>
      <c r="B1431" s="687"/>
      <c r="C1431" s="156"/>
      <c r="D1431" s="157">
        <f>SUM(D1429:D1430)</f>
        <v>16325536.24</v>
      </c>
      <c r="E1431" s="88"/>
      <c r="F1431" s="88"/>
      <c r="G1431" s="158">
        <f>SUM(G1429:G1430)</f>
        <v>15308653.91</v>
      </c>
      <c r="H1431" s="88"/>
      <c r="I1431" s="130"/>
      <c r="J1431" s="157">
        <f t="shared" ref="J1431" si="39">SUM(J1429:J1430)</f>
        <v>13779552.310000001</v>
      </c>
    </row>
    <row r="1432" spans="1:10" s="4" customFormat="1" ht="33" x14ac:dyDescent="0.25">
      <c r="A1432" s="734">
        <v>18</v>
      </c>
      <c r="B1432" s="732" t="s">
        <v>13</v>
      </c>
      <c r="C1432" s="353" t="s">
        <v>34</v>
      </c>
      <c r="D1432" s="350">
        <v>3232025.9</v>
      </c>
      <c r="E1432" s="361" t="s">
        <v>910</v>
      </c>
      <c r="F1432" s="353" t="s">
        <v>757</v>
      </c>
      <c r="G1432" s="355">
        <v>3232025.9</v>
      </c>
      <c r="H1432" s="356">
        <v>42591</v>
      </c>
      <c r="I1432" s="362"/>
      <c r="J1432" s="354">
        <v>1660416.24</v>
      </c>
    </row>
    <row r="1433" spans="1:10" ht="33" outlineLevel="1" x14ac:dyDescent="0.25">
      <c r="A1433" s="731"/>
      <c r="B1433" s="733"/>
      <c r="C1433" s="349" t="s">
        <v>35</v>
      </c>
      <c r="D1433" s="350">
        <v>439685.7</v>
      </c>
      <c r="E1433" s="363" t="s">
        <v>910</v>
      </c>
      <c r="F1433" s="364" t="s">
        <v>757</v>
      </c>
      <c r="G1433" s="360">
        <v>439685.7</v>
      </c>
      <c r="H1433" s="351">
        <v>42591</v>
      </c>
      <c r="I1433" s="352"/>
      <c r="J1433" s="350"/>
    </row>
    <row r="1434" spans="1:10" ht="33" outlineLevel="1" x14ac:dyDescent="0.25">
      <c r="A1434" s="731"/>
      <c r="B1434" s="733"/>
      <c r="C1434" s="140" t="s">
        <v>36</v>
      </c>
      <c r="D1434" s="140">
        <v>465757.8</v>
      </c>
      <c r="E1434" s="194" t="s">
        <v>910</v>
      </c>
      <c r="F1434" s="194" t="s">
        <v>757</v>
      </c>
      <c r="G1434" s="207">
        <v>465757.8</v>
      </c>
      <c r="H1434" s="58">
        <v>42591</v>
      </c>
      <c r="I1434" s="56"/>
      <c r="J1434" s="57"/>
    </row>
    <row r="1435" spans="1:10" ht="33" outlineLevel="1" x14ac:dyDescent="0.25">
      <c r="A1435" s="731"/>
      <c r="B1435" s="733"/>
      <c r="C1435" s="116" t="s">
        <v>37</v>
      </c>
      <c r="D1435" s="59">
        <v>174032.17</v>
      </c>
      <c r="E1435" s="63" t="s">
        <v>572</v>
      </c>
      <c r="F1435" s="60" t="s">
        <v>541</v>
      </c>
      <c r="G1435" s="61">
        <v>174032.16</v>
      </c>
      <c r="H1435" s="62">
        <v>42377</v>
      </c>
      <c r="I1435" s="62">
        <v>42377</v>
      </c>
      <c r="J1435" s="63">
        <v>174032.17</v>
      </c>
    </row>
    <row r="1436" spans="1:10" ht="17.25" outlineLevel="1" thickBot="1" x14ac:dyDescent="0.3">
      <c r="A1436" s="724" t="s">
        <v>628</v>
      </c>
      <c r="B1436" s="725"/>
      <c r="C1436" s="164"/>
      <c r="D1436" s="157">
        <f>SUM(D1432:D1435)</f>
        <v>4311501.57</v>
      </c>
      <c r="E1436" s="90"/>
      <c r="F1436" s="90"/>
      <c r="G1436" s="166">
        <f>SUM(G1432:G1435)</f>
        <v>4311501.5599999996</v>
      </c>
      <c r="H1436" s="90"/>
      <c r="I1436" s="108"/>
      <c r="J1436" s="165">
        <f>SUM(J1432:J1435)</f>
        <v>1834448.41</v>
      </c>
    </row>
    <row r="1437" spans="1:10" s="4" customFormat="1" ht="33" x14ac:dyDescent="0.25">
      <c r="A1437" s="734">
        <v>19</v>
      </c>
      <c r="B1437" s="732" t="s">
        <v>14</v>
      </c>
      <c r="C1437" s="353" t="s">
        <v>34</v>
      </c>
      <c r="D1437" s="365">
        <v>3042096.64</v>
      </c>
      <c r="E1437" s="361" t="s">
        <v>910</v>
      </c>
      <c r="F1437" s="361" t="s">
        <v>757</v>
      </c>
      <c r="G1437" s="355">
        <v>3042096.64</v>
      </c>
      <c r="H1437" s="356">
        <v>42591</v>
      </c>
      <c r="I1437" s="362"/>
      <c r="J1437" s="354">
        <v>703951.6</v>
      </c>
    </row>
    <row r="1438" spans="1:10" ht="33" outlineLevel="1" x14ac:dyDescent="0.25">
      <c r="A1438" s="731"/>
      <c r="B1438" s="733"/>
      <c r="C1438" s="474" t="s">
        <v>35</v>
      </c>
      <c r="D1438" s="473">
        <v>484096.18</v>
      </c>
      <c r="E1438" s="475" t="s">
        <v>910</v>
      </c>
      <c r="F1438" s="475" t="s">
        <v>757</v>
      </c>
      <c r="G1438" s="245">
        <v>484096.18</v>
      </c>
      <c r="H1438" s="476">
        <v>42591</v>
      </c>
      <c r="I1438" s="347"/>
      <c r="J1438" s="473">
        <v>90529</v>
      </c>
    </row>
    <row r="1439" spans="1:10" ht="33" outlineLevel="1" x14ac:dyDescent="0.25">
      <c r="A1439" s="731"/>
      <c r="B1439" s="733"/>
      <c r="C1439" s="140" t="s">
        <v>36</v>
      </c>
      <c r="D1439" s="140">
        <v>565851.30000000005</v>
      </c>
      <c r="E1439" s="194" t="s">
        <v>910</v>
      </c>
      <c r="F1439" s="194" t="s">
        <v>757</v>
      </c>
      <c r="G1439" s="207">
        <v>565859.30000000005</v>
      </c>
      <c r="H1439" s="58">
        <v>42591</v>
      </c>
      <c r="I1439" s="56"/>
      <c r="J1439" s="57"/>
    </row>
    <row r="1440" spans="1:10" ht="33" outlineLevel="1" x14ac:dyDescent="0.25">
      <c r="A1440" s="731"/>
      <c r="B1440" s="733"/>
      <c r="C1440" s="116" t="s">
        <v>37</v>
      </c>
      <c r="D1440" s="59">
        <v>175957.52</v>
      </c>
      <c r="E1440" s="63" t="s">
        <v>572</v>
      </c>
      <c r="F1440" s="60" t="s">
        <v>541</v>
      </c>
      <c r="G1440" s="61">
        <v>175957.52</v>
      </c>
      <c r="H1440" s="62">
        <v>42377</v>
      </c>
      <c r="I1440" s="62">
        <v>42377</v>
      </c>
      <c r="J1440" s="63">
        <v>175957.52</v>
      </c>
    </row>
    <row r="1441" spans="1:10" ht="17.25" outlineLevel="1" thickBot="1" x14ac:dyDescent="0.3">
      <c r="A1441" s="686" t="s">
        <v>628</v>
      </c>
      <c r="B1441" s="687"/>
      <c r="C1441" s="156"/>
      <c r="D1441" s="165">
        <f>SUM(D1437:D1440)</f>
        <v>4268001.6399999997</v>
      </c>
      <c r="E1441" s="88"/>
      <c r="F1441" s="88"/>
      <c r="G1441" s="166">
        <f>SUM(G1437:G1440)</f>
        <v>4268009.6399999997</v>
      </c>
      <c r="H1441" s="88"/>
      <c r="I1441" s="130"/>
      <c r="J1441" s="165">
        <f>SUM(J1437:J1440)</f>
        <v>970438.12</v>
      </c>
    </row>
    <row r="1442" spans="1:10" s="4" customFormat="1" ht="33" x14ac:dyDescent="0.25">
      <c r="A1442" s="734">
        <v>20</v>
      </c>
      <c r="B1442" s="732" t="s">
        <v>15</v>
      </c>
      <c r="C1442" s="353" t="s">
        <v>38</v>
      </c>
      <c r="D1442" s="354">
        <v>229718.86</v>
      </c>
      <c r="E1442" s="353" t="s">
        <v>911</v>
      </c>
      <c r="F1442" s="353" t="s">
        <v>757</v>
      </c>
      <c r="G1442" s="355">
        <v>229718.86</v>
      </c>
      <c r="H1442" s="356">
        <v>42591</v>
      </c>
      <c r="I1442" s="362"/>
      <c r="J1442" s="354">
        <v>215097.82</v>
      </c>
    </row>
    <row r="1443" spans="1:10" ht="33" outlineLevel="1" x14ac:dyDescent="0.25">
      <c r="A1443" s="731"/>
      <c r="B1443" s="733"/>
      <c r="C1443" s="116" t="s">
        <v>37</v>
      </c>
      <c r="D1443" s="59">
        <v>67961.45</v>
      </c>
      <c r="E1443" s="63" t="s">
        <v>572</v>
      </c>
      <c r="F1443" s="60" t="s">
        <v>541</v>
      </c>
      <c r="G1443" s="61">
        <v>67961.429999999993</v>
      </c>
      <c r="H1443" s="62">
        <v>42377</v>
      </c>
      <c r="I1443" s="62">
        <v>42377</v>
      </c>
      <c r="J1443" s="63">
        <v>67961.45</v>
      </c>
    </row>
    <row r="1444" spans="1:10" ht="17.25" outlineLevel="1" thickBot="1" x14ac:dyDescent="0.3">
      <c r="A1444" s="686" t="s">
        <v>628</v>
      </c>
      <c r="B1444" s="687"/>
      <c r="C1444" s="156"/>
      <c r="D1444" s="157">
        <f>SUM(D1442:D1443)</f>
        <v>297680.31</v>
      </c>
      <c r="E1444" s="88"/>
      <c r="F1444" s="88"/>
      <c r="G1444" s="158">
        <f>SUM(G1442:G1443)</f>
        <v>297680.28999999998</v>
      </c>
      <c r="H1444" s="88"/>
      <c r="I1444" s="130"/>
      <c r="J1444" s="157">
        <f>SUM(J1442:J1443)</f>
        <v>283059.27</v>
      </c>
    </row>
    <row r="1445" spans="1:10" s="4" customFormat="1" ht="28.5" customHeight="1" x14ac:dyDescent="0.25">
      <c r="A1445" s="785">
        <v>21</v>
      </c>
      <c r="B1445" s="786" t="s">
        <v>307</v>
      </c>
      <c r="C1445" s="70" t="s">
        <v>500</v>
      </c>
      <c r="D1445" s="51">
        <v>2446133.85</v>
      </c>
      <c r="E1445" s="70" t="s">
        <v>846</v>
      </c>
      <c r="F1445" s="70" t="s">
        <v>847</v>
      </c>
      <c r="G1445" s="148">
        <v>2704057</v>
      </c>
      <c r="H1445" s="50">
        <v>42640</v>
      </c>
      <c r="I1445" s="50">
        <v>42628</v>
      </c>
      <c r="J1445" s="219">
        <v>2446133.85</v>
      </c>
    </row>
    <row r="1446" spans="1:10" ht="33" outlineLevel="1" x14ac:dyDescent="0.25">
      <c r="A1446" s="730"/>
      <c r="B1446" s="735"/>
      <c r="C1446" s="150" t="s">
        <v>37</v>
      </c>
      <c r="D1446" s="151">
        <v>87290.73</v>
      </c>
      <c r="E1446" s="155" t="s">
        <v>575</v>
      </c>
      <c r="F1446" s="152" t="s">
        <v>541</v>
      </c>
      <c r="G1446" s="153">
        <v>87290.71</v>
      </c>
      <c r="H1446" s="154">
        <v>42429</v>
      </c>
      <c r="I1446" s="154">
        <v>42593</v>
      </c>
      <c r="J1446" s="155">
        <v>87290.71</v>
      </c>
    </row>
    <row r="1447" spans="1:10" ht="17.25" outlineLevel="1" thickBot="1" x14ac:dyDescent="0.3">
      <c r="A1447" s="686" t="s">
        <v>628</v>
      </c>
      <c r="B1447" s="687"/>
      <c r="C1447" s="156"/>
      <c r="D1447" s="157">
        <f>SUM(D1445:D1446)</f>
        <v>2533424.58</v>
      </c>
      <c r="E1447" s="88"/>
      <c r="F1447" s="88"/>
      <c r="G1447" s="158">
        <f>SUM(G1445:G1446)</f>
        <v>2791347.71</v>
      </c>
      <c r="H1447" s="88"/>
      <c r="I1447" s="130"/>
      <c r="J1447" s="157">
        <f t="shared" ref="J1447" si="40">SUM(J1445:J1446)</f>
        <v>2533424.56</v>
      </c>
    </row>
    <row r="1448" spans="1:10" s="29" customFormat="1" ht="19.5" customHeight="1" outlineLevel="1" thickBot="1" x14ac:dyDescent="0.3">
      <c r="A1448" s="366"/>
      <c r="B1448" s="863" t="s">
        <v>1008</v>
      </c>
      <c r="C1448" s="864"/>
      <c r="D1448" s="367">
        <v>2013019.82</v>
      </c>
      <c r="E1448" s="368"/>
      <c r="F1448" s="369"/>
      <c r="G1448" s="370">
        <f>SUM(G1449:G1460)</f>
        <v>2013019.82</v>
      </c>
      <c r="H1448" s="371"/>
      <c r="I1448" s="372"/>
      <c r="J1448" s="370">
        <f>SUM(J1449:J1460)</f>
        <v>1705949</v>
      </c>
    </row>
    <row r="1449" spans="1:10" s="30" customFormat="1" ht="33" customHeight="1" outlineLevel="1" x14ac:dyDescent="0.25">
      <c r="A1449" s="373"/>
      <c r="B1449" s="862" t="s">
        <v>1162</v>
      </c>
      <c r="C1449" s="620" t="s">
        <v>37</v>
      </c>
      <c r="D1449" s="629"/>
      <c r="E1449" s="624" t="s">
        <v>1169</v>
      </c>
      <c r="F1449" s="625" t="s">
        <v>1171</v>
      </c>
      <c r="G1449" s="104">
        <v>251773.06</v>
      </c>
      <c r="H1449" s="619"/>
      <c r="I1449" s="619">
        <v>42874</v>
      </c>
      <c r="J1449" s="73">
        <v>213367</v>
      </c>
    </row>
    <row r="1450" spans="1:10" s="30" customFormat="1" ht="33" customHeight="1" outlineLevel="1" x14ac:dyDescent="0.25">
      <c r="A1450" s="373"/>
      <c r="B1450" s="856"/>
      <c r="C1450" s="530" t="s">
        <v>37</v>
      </c>
      <c r="D1450" s="551"/>
      <c r="E1450" s="527" t="s">
        <v>1172</v>
      </c>
      <c r="F1450" s="528" t="s">
        <v>787</v>
      </c>
      <c r="G1450" s="73">
        <v>65432.18</v>
      </c>
      <c r="H1450" s="532">
        <v>42791</v>
      </c>
      <c r="I1450" s="532">
        <v>42788</v>
      </c>
      <c r="J1450" s="73">
        <v>55451</v>
      </c>
    </row>
    <row r="1451" spans="1:10" s="30" customFormat="1" ht="35.25" customHeight="1" outlineLevel="1" x14ac:dyDescent="0.25">
      <c r="A1451" s="373"/>
      <c r="B1451" s="856" t="s">
        <v>1163</v>
      </c>
      <c r="C1451" s="622" t="s">
        <v>37</v>
      </c>
      <c r="D1451" s="551"/>
      <c r="E1451" s="626" t="s">
        <v>1169</v>
      </c>
      <c r="F1451" s="623" t="s">
        <v>1171</v>
      </c>
      <c r="G1451" s="73">
        <v>281052.40000000002</v>
      </c>
      <c r="H1451" s="628">
        <v>42732</v>
      </c>
      <c r="I1451" s="628">
        <v>42874</v>
      </c>
      <c r="J1451" s="73">
        <v>238180</v>
      </c>
    </row>
    <row r="1452" spans="1:10" s="30" customFormat="1" ht="32.25" customHeight="1" outlineLevel="1" x14ac:dyDescent="0.25">
      <c r="A1452" s="373"/>
      <c r="B1452" s="856"/>
      <c r="C1452" s="530" t="s">
        <v>37</v>
      </c>
      <c r="D1452" s="551"/>
      <c r="E1452" s="527" t="s">
        <v>1172</v>
      </c>
      <c r="F1452" s="528" t="s">
        <v>787</v>
      </c>
      <c r="G1452" s="73">
        <v>82077.259999999995</v>
      </c>
      <c r="H1452" s="532">
        <v>42791</v>
      </c>
      <c r="I1452" s="532">
        <v>42788</v>
      </c>
      <c r="J1452" s="73">
        <v>69557</v>
      </c>
    </row>
    <row r="1453" spans="1:10" s="30" customFormat="1" ht="31.5" customHeight="1" outlineLevel="1" x14ac:dyDescent="0.25">
      <c r="A1453" s="373"/>
      <c r="B1453" s="856" t="s">
        <v>1164</v>
      </c>
      <c r="C1453" s="622" t="s">
        <v>37</v>
      </c>
      <c r="D1453" s="551"/>
      <c r="E1453" s="626" t="s">
        <v>1169</v>
      </c>
      <c r="F1453" s="623" t="s">
        <v>1171</v>
      </c>
      <c r="G1453" s="73">
        <v>277687.03999999998</v>
      </c>
      <c r="H1453" s="628">
        <v>42732</v>
      </c>
      <c r="I1453" s="628">
        <v>42874</v>
      </c>
      <c r="J1453" s="73">
        <v>235328</v>
      </c>
    </row>
    <row r="1454" spans="1:10" s="30" customFormat="1" ht="31.5" customHeight="1" outlineLevel="1" x14ac:dyDescent="0.25">
      <c r="A1454" s="373"/>
      <c r="B1454" s="856"/>
      <c r="C1454" s="530" t="s">
        <v>37</v>
      </c>
      <c r="D1454" s="551"/>
      <c r="E1454" s="527" t="s">
        <v>1172</v>
      </c>
      <c r="F1454" s="528" t="s">
        <v>787</v>
      </c>
      <c r="G1454" s="73">
        <v>162618.16</v>
      </c>
      <c r="H1454" s="532">
        <v>42791</v>
      </c>
      <c r="I1454" s="532">
        <v>42788</v>
      </c>
      <c r="J1454" s="73">
        <v>137812</v>
      </c>
    </row>
    <row r="1455" spans="1:10" s="30" customFormat="1" ht="27" customHeight="1" outlineLevel="1" x14ac:dyDescent="0.25">
      <c r="A1455" s="373"/>
      <c r="B1455" s="856" t="s">
        <v>1165</v>
      </c>
      <c r="C1455" s="622" t="s">
        <v>37</v>
      </c>
      <c r="D1455" s="551"/>
      <c r="E1455" s="626" t="s">
        <v>1169</v>
      </c>
      <c r="F1455" s="623" t="s">
        <v>1171</v>
      </c>
      <c r="G1455" s="73">
        <v>252641.54</v>
      </c>
      <c r="H1455" s="628">
        <v>42732</v>
      </c>
      <c r="I1455" s="628">
        <v>42874</v>
      </c>
      <c r="J1455" s="73">
        <v>214103</v>
      </c>
    </row>
    <row r="1456" spans="1:10" s="30" customFormat="1" ht="31.5" customHeight="1" outlineLevel="1" x14ac:dyDescent="0.25">
      <c r="A1456" s="373"/>
      <c r="B1456" s="856"/>
      <c r="C1456" s="530" t="s">
        <v>37</v>
      </c>
      <c r="D1456" s="551"/>
      <c r="E1456" s="527" t="s">
        <v>1172</v>
      </c>
      <c r="F1456" s="528" t="s">
        <v>787</v>
      </c>
      <c r="G1456" s="73">
        <v>152735.66</v>
      </c>
      <c r="H1456" s="532">
        <v>42791</v>
      </c>
      <c r="I1456" s="532">
        <v>42788</v>
      </c>
      <c r="J1456" s="73">
        <v>129437</v>
      </c>
    </row>
    <row r="1457" spans="1:10" s="30" customFormat="1" ht="34.5" customHeight="1" outlineLevel="1" x14ac:dyDescent="0.25">
      <c r="A1457" s="373"/>
      <c r="B1457" s="400" t="s">
        <v>13</v>
      </c>
      <c r="C1457" s="530" t="s">
        <v>37</v>
      </c>
      <c r="D1457" s="551"/>
      <c r="E1457" s="707" t="s">
        <v>1172</v>
      </c>
      <c r="F1457" s="694" t="s">
        <v>787</v>
      </c>
      <c r="G1457" s="73">
        <v>141177.56</v>
      </c>
      <c r="H1457" s="713">
        <v>42791</v>
      </c>
      <c r="I1457" s="532">
        <v>42788</v>
      </c>
      <c r="J1457" s="73">
        <v>119642</v>
      </c>
    </row>
    <row r="1458" spans="1:10" s="30" customFormat="1" ht="34.5" customHeight="1" outlineLevel="1" x14ac:dyDescent="0.25">
      <c r="A1458" s="373"/>
      <c r="B1458" s="400" t="s">
        <v>14</v>
      </c>
      <c r="C1458" s="530" t="s">
        <v>37</v>
      </c>
      <c r="D1458" s="551"/>
      <c r="E1458" s="708"/>
      <c r="F1458" s="710"/>
      <c r="G1458" s="73">
        <v>119654.36</v>
      </c>
      <c r="H1458" s="676"/>
      <c r="I1458" s="532">
        <v>42788</v>
      </c>
      <c r="J1458" s="73">
        <v>101402</v>
      </c>
    </row>
    <row r="1459" spans="1:10" s="30" customFormat="1" ht="34.5" customHeight="1" outlineLevel="1" x14ac:dyDescent="0.25">
      <c r="A1459" s="373"/>
      <c r="B1459" s="400" t="s">
        <v>15</v>
      </c>
      <c r="C1459" s="530" t="s">
        <v>37</v>
      </c>
      <c r="D1459" s="551"/>
      <c r="E1459" s="708"/>
      <c r="F1459" s="710"/>
      <c r="G1459" s="73">
        <v>125482.38</v>
      </c>
      <c r="H1459" s="676"/>
      <c r="I1459" s="532">
        <v>42788</v>
      </c>
      <c r="J1459" s="73">
        <v>106341</v>
      </c>
    </row>
    <row r="1460" spans="1:10" s="30" customFormat="1" ht="34.5" customHeight="1" outlineLevel="1" thickBot="1" x14ac:dyDescent="0.3">
      <c r="A1460" s="373"/>
      <c r="B1460" s="565" t="s">
        <v>1170</v>
      </c>
      <c r="C1460" s="531" t="s">
        <v>37</v>
      </c>
      <c r="D1460" s="552"/>
      <c r="E1460" s="708"/>
      <c r="F1460" s="710"/>
      <c r="G1460" s="127">
        <v>100688.22</v>
      </c>
      <c r="H1460" s="676"/>
      <c r="I1460" s="533">
        <v>42788</v>
      </c>
      <c r="J1460" s="93">
        <v>85329</v>
      </c>
    </row>
    <row r="1461" spans="1:10" ht="17.25" outlineLevel="1" thickBot="1" x14ac:dyDescent="0.3">
      <c r="A1461" s="738" t="s">
        <v>629</v>
      </c>
      <c r="B1461" s="739"/>
      <c r="C1461" s="44"/>
      <c r="D1461" s="43">
        <f>SUM(D1447,D1444,D1441,D1436,D1431,D1428,D1421,D1418,D1413,D1410,D1403,D1400,D1393,D1385,D1377,D1369,D1362,D1359,D1356,D1353,D1350,D1448)</f>
        <v>273599309.59999996</v>
      </c>
      <c r="E1461" s="44"/>
      <c r="F1461" s="44"/>
      <c r="G1461" s="45">
        <f>SUM(G1447,G1444,G1441,G1436,G1431,G1428,G1421,G1418,G1413,G1410,G1403,G1400,G1393,G1385,G1377,G1369,G1362,G1359,G1356,G1353,G1350,G1448)</f>
        <v>249465016.65999997</v>
      </c>
      <c r="H1461" s="44"/>
      <c r="I1461" s="146"/>
      <c r="J1461" s="192">
        <f>SUM(J1447,J1448,J1444,J1441,J1436,J1431,J1428,J1421,J1418,J1413,J1410,J1403,J1400,J1393,J1385,J1377,J1369,J1362,J1359,J1356,J1353,J1350)</f>
        <v>165097668.02000001</v>
      </c>
    </row>
    <row r="1462" spans="1:10" s="4" customFormat="1" ht="25.5" customHeight="1" thickBot="1" x14ac:dyDescent="0.3">
      <c r="A1462" s="772" t="s">
        <v>647</v>
      </c>
      <c r="B1462" s="773"/>
      <c r="C1462" s="773"/>
      <c r="D1462" s="773"/>
      <c r="E1462" s="773"/>
      <c r="F1462" s="773"/>
      <c r="G1462" s="773"/>
      <c r="H1462" s="773"/>
      <c r="I1462" s="773"/>
      <c r="J1462" s="773"/>
    </row>
    <row r="1463" spans="1:10" s="22" customFormat="1" ht="33" x14ac:dyDescent="0.25">
      <c r="A1463" s="767">
        <v>1</v>
      </c>
      <c r="B1463" s="769" t="s">
        <v>320</v>
      </c>
      <c r="C1463" s="109" t="s">
        <v>500</v>
      </c>
      <c r="D1463" s="48">
        <v>2325338.4700000002</v>
      </c>
      <c r="E1463" s="70" t="s">
        <v>949</v>
      </c>
      <c r="F1463" s="70" t="s">
        <v>779</v>
      </c>
      <c r="G1463" s="49">
        <v>2325338.4700000002</v>
      </c>
      <c r="H1463" s="50">
        <v>42678</v>
      </c>
      <c r="I1463" s="50">
        <v>42717</v>
      </c>
      <c r="J1463" s="51">
        <v>2322884.2799999998</v>
      </c>
    </row>
    <row r="1464" spans="1:10" ht="33" outlineLevel="1" x14ac:dyDescent="0.25">
      <c r="A1464" s="768"/>
      <c r="B1464" s="764"/>
      <c r="C1464" s="116" t="s">
        <v>37</v>
      </c>
      <c r="D1464" s="59">
        <v>69758.59</v>
      </c>
      <c r="E1464" s="60" t="s">
        <v>555</v>
      </c>
      <c r="F1464" s="60" t="s">
        <v>554</v>
      </c>
      <c r="G1464" s="61">
        <f>59117.45*1.18</f>
        <v>69758.590999999986</v>
      </c>
      <c r="H1464" s="62">
        <v>42429</v>
      </c>
      <c r="I1464" s="62">
        <v>42429</v>
      </c>
      <c r="J1464" s="63">
        <v>69758.59</v>
      </c>
    </row>
    <row r="1465" spans="1:10" ht="17.25" outlineLevel="1" thickBot="1" x14ac:dyDescent="0.3">
      <c r="A1465" s="686" t="s">
        <v>628</v>
      </c>
      <c r="B1465" s="687"/>
      <c r="C1465" s="321"/>
      <c r="D1465" s="222">
        <f>SUM(D1463:D1464)</f>
        <v>2395097.06</v>
      </c>
      <c r="E1465" s="88"/>
      <c r="F1465" s="88"/>
      <c r="G1465" s="323">
        <f>SUM(G1463:G1464)</f>
        <v>2395097.0610000002</v>
      </c>
      <c r="H1465" s="88"/>
      <c r="I1465" s="130"/>
      <c r="J1465" s="222">
        <f>SUM(J1463:J1464)</f>
        <v>2392642.8699999996</v>
      </c>
    </row>
    <row r="1466" spans="1:10" s="22" customFormat="1" ht="33" x14ac:dyDescent="0.25">
      <c r="A1466" s="767">
        <v>2</v>
      </c>
      <c r="B1466" s="769" t="s">
        <v>322</v>
      </c>
      <c r="C1466" s="109" t="s">
        <v>500</v>
      </c>
      <c r="D1466" s="48">
        <v>6829644.1200000001</v>
      </c>
      <c r="E1466" s="70" t="s">
        <v>949</v>
      </c>
      <c r="F1466" s="70" t="s">
        <v>779</v>
      </c>
      <c r="G1466" s="49">
        <v>6829644.1200000001</v>
      </c>
      <c r="H1466" s="50">
        <v>42675</v>
      </c>
      <c r="I1466" s="50">
        <v>42717</v>
      </c>
      <c r="J1466" s="51">
        <v>6826963.1600000001</v>
      </c>
    </row>
    <row r="1467" spans="1:10" ht="33" outlineLevel="1" x14ac:dyDescent="0.25">
      <c r="A1467" s="768"/>
      <c r="B1467" s="764"/>
      <c r="C1467" s="116" t="s">
        <v>37</v>
      </c>
      <c r="D1467" s="59">
        <v>100700.45</v>
      </c>
      <c r="E1467" s="60" t="s">
        <v>555</v>
      </c>
      <c r="F1467" s="60" t="s">
        <v>554</v>
      </c>
      <c r="G1467" s="61">
        <f>85339.36*1.18</f>
        <v>100700.4448</v>
      </c>
      <c r="H1467" s="62">
        <v>42429</v>
      </c>
      <c r="I1467" s="62">
        <v>42429</v>
      </c>
      <c r="J1467" s="63">
        <v>100700.45000000001</v>
      </c>
    </row>
    <row r="1468" spans="1:10" ht="15.75" customHeight="1" outlineLevel="1" thickBot="1" x14ac:dyDescent="0.3">
      <c r="A1468" s="686" t="s">
        <v>628</v>
      </c>
      <c r="B1468" s="687"/>
      <c r="C1468" s="321"/>
      <c r="D1468" s="222">
        <f>SUM(D1466:D1467)</f>
        <v>6930344.5700000003</v>
      </c>
      <c r="E1468" s="88"/>
      <c r="F1468" s="88"/>
      <c r="G1468" s="323">
        <f>SUM(G1466:G1467)</f>
        <v>6930344.5647999998</v>
      </c>
      <c r="H1468" s="88"/>
      <c r="I1468" s="130"/>
      <c r="J1468" s="222">
        <f>SUM(J1466:J1467)</f>
        <v>6927663.6100000003</v>
      </c>
    </row>
    <row r="1469" spans="1:10" s="22" customFormat="1" ht="33" x14ac:dyDescent="0.25">
      <c r="A1469" s="767">
        <v>3</v>
      </c>
      <c r="B1469" s="769" t="s">
        <v>319</v>
      </c>
      <c r="C1469" s="109" t="s">
        <v>500</v>
      </c>
      <c r="D1469" s="48">
        <v>3262383.55</v>
      </c>
      <c r="E1469" s="70" t="s">
        <v>949</v>
      </c>
      <c r="F1469" s="70" t="s">
        <v>779</v>
      </c>
      <c r="G1469" s="51">
        <v>3262383.55</v>
      </c>
      <c r="H1469" s="50">
        <v>42678</v>
      </c>
      <c r="I1469" s="50">
        <v>42717</v>
      </c>
      <c r="J1469" s="51">
        <v>3262382.58</v>
      </c>
    </row>
    <row r="1470" spans="1:10" ht="33" outlineLevel="1" x14ac:dyDescent="0.25">
      <c r="A1470" s="768"/>
      <c r="B1470" s="764"/>
      <c r="C1470" s="116" t="s">
        <v>37</v>
      </c>
      <c r="D1470" s="59">
        <v>72611.41</v>
      </c>
      <c r="E1470" s="60" t="s">
        <v>555</v>
      </c>
      <c r="F1470" s="60" t="s">
        <v>554</v>
      </c>
      <c r="G1470" s="61">
        <f>61535.09*1.18</f>
        <v>72611.406199999998</v>
      </c>
      <c r="H1470" s="62">
        <v>42429</v>
      </c>
      <c r="I1470" s="62">
        <v>42429</v>
      </c>
      <c r="J1470" s="63">
        <v>72611.41</v>
      </c>
    </row>
    <row r="1471" spans="1:10" ht="17.25" outlineLevel="1" thickBot="1" x14ac:dyDescent="0.3">
      <c r="A1471" s="686" t="s">
        <v>628</v>
      </c>
      <c r="B1471" s="687"/>
      <c r="C1471" s="321"/>
      <c r="D1471" s="222">
        <f>SUM(D1469:D1470)</f>
        <v>3334994.96</v>
      </c>
      <c r="E1471" s="88"/>
      <c r="F1471" s="88"/>
      <c r="G1471" s="323">
        <f>SUM(G1469:G1470)</f>
        <v>3334994.9561999999</v>
      </c>
      <c r="H1471" s="88"/>
      <c r="I1471" s="130"/>
      <c r="J1471" s="222">
        <f>SUM(J1469:J1470)</f>
        <v>3334993.99</v>
      </c>
    </row>
    <row r="1472" spans="1:10" s="4" customFormat="1" ht="36.75" customHeight="1" x14ac:dyDescent="0.25">
      <c r="A1472" s="767">
        <v>4</v>
      </c>
      <c r="B1472" s="769" t="s">
        <v>329</v>
      </c>
      <c r="C1472" s="109" t="s">
        <v>500</v>
      </c>
      <c r="D1472" s="48">
        <v>7397295.79</v>
      </c>
      <c r="E1472" s="70" t="s">
        <v>778</v>
      </c>
      <c r="F1472" s="70" t="s">
        <v>779</v>
      </c>
      <c r="G1472" s="49">
        <v>6724817.3300000001</v>
      </c>
      <c r="H1472" s="50">
        <v>42557</v>
      </c>
      <c r="I1472" s="50">
        <v>42583</v>
      </c>
      <c r="J1472" s="51">
        <v>7397295.79</v>
      </c>
    </row>
    <row r="1473" spans="1:10" ht="33" outlineLevel="1" x14ac:dyDescent="0.25">
      <c r="A1473" s="768"/>
      <c r="B1473" s="764"/>
      <c r="C1473" s="116" t="s">
        <v>37</v>
      </c>
      <c r="D1473" s="59">
        <v>103667.08</v>
      </c>
      <c r="E1473" s="60" t="s">
        <v>555</v>
      </c>
      <c r="F1473" s="60" t="s">
        <v>554</v>
      </c>
      <c r="G1473" s="61">
        <f>87853.46*1.18</f>
        <v>103667.0828</v>
      </c>
      <c r="H1473" s="62">
        <v>42429</v>
      </c>
      <c r="I1473" s="62">
        <v>42429</v>
      </c>
      <c r="J1473" s="63">
        <v>103667.08000000002</v>
      </c>
    </row>
    <row r="1474" spans="1:10" ht="17.25" outlineLevel="1" thickBot="1" x14ac:dyDescent="0.3">
      <c r="A1474" s="686" t="s">
        <v>628</v>
      </c>
      <c r="B1474" s="687"/>
      <c r="C1474" s="321"/>
      <c r="D1474" s="222">
        <f>SUM(D1472:D1473)</f>
        <v>7500962.8700000001</v>
      </c>
      <c r="E1474" s="88"/>
      <c r="F1474" s="88"/>
      <c r="G1474" s="323">
        <f>SUM(G1472:G1473)</f>
        <v>6828484.4128</v>
      </c>
      <c r="H1474" s="88"/>
      <c r="I1474" s="130"/>
      <c r="J1474" s="222">
        <f>SUM(J1472:J1473)</f>
        <v>7500962.8700000001</v>
      </c>
    </row>
    <row r="1475" spans="1:10" s="4" customFormat="1" ht="33" x14ac:dyDescent="0.25">
      <c r="A1475" s="767">
        <v>5</v>
      </c>
      <c r="B1475" s="769" t="s">
        <v>330</v>
      </c>
      <c r="C1475" s="109" t="s">
        <v>500</v>
      </c>
      <c r="D1475" s="48">
        <v>7397492.9400000004</v>
      </c>
      <c r="E1475" s="70" t="s">
        <v>780</v>
      </c>
      <c r="F1475" s="70" t="s">
        <v>779</v>
      </c>
      <c r="G1475" s="49">
        <v>6725001.5</v>
      </c>
      <c r="H1475" s="50">
        <v>42557</v>
      </c>
      <c r="I1475" s="50">
        <v>42583</v>
      </c>
      <c r="J1475" s="51">
        <v>7397492.9399999995</v>
      </c>
    </row>
    <row r="1476" spans="1:10" ht="33" outlineLevel="1" x14ac:dyDescent="0.25">
      <c r="A1476" s="768"/>
      <c r="B1476" s="764"/>
      <c r="C1476" s="116" t="s">
        <v>37</v>
      </c>
      <c r="D1476" s="59">
        <v>82073.39</v>
      </c>
      <c r="E1476" s="60" t="s">
        <v>555</v>
      </c>
      <c r="F1476" s="60" t="s">
        <v>554</v>
      </c>
      <c r="G1476" s="61">
        <v>82073.39</v>
      </c>
      <c r="H1476" s="62">
        <v>42429</v>
      </c>
      <c r="I1476" s="62">
        <v>42429</v>
      </c>
      <c r="J1476" s="63">
        <v>82073.39</v>
      </c>
    </row>
    <row r="1477" spans="1:10" ht="17.25" outlineLevel="1" thickBot="1" x14ac:dyDescent="0.3">
      <c r="A1477" s="686" t="s">
        <v>628</v>
      </c>
      <c r="B1477" s="687"/>
      <c r="C1477" s="321"/>
      <c r="D1477" s="222">
        <f>SUM(D1475:D1476)</f>
        <v>7479566.3300000001</v>
      </c>
      <c r="E1477" s="88"/>
      <c r="F1477" s="88"/>
      <c r="G1477" s="323">
        <f>SUM(G1475:G1476)</f>
        <v>6807074.8899999997</v>
      </c>
      <c r="H1477" s="88"/>
      <c r="I1477" s="130"/>
      <c r="J1477" s="222">
        <f>SUM(J1475:J1476)</f>
        <v>7479566.3299999991</v>
      </c>
    </row>
    <row r="1478" spans="1:10" s="4" customFormat="1" ht="33" x14ac:dyDescent="0.25">
      <c r="A1478" s="767">
        <v>6</v>
      </c>
      <c r="B1478" s="769" t="s">
        <v>331</v>
      </c>
      <c r="C1478" s="109" t="s">
        <v>500</v>
      </c>
      <c r="D1478" s="48">
        <v>7397492.9400000004</v>
      </c>
      <c r="E1478" s="70" t="s">
        <v>780</v>
      </c>
      <c r="F1478" s="70" t="s">
        <v>779</v>
      </c>
      <c r="G1478" s="49">
        <v>6725001.5</v>
      </c>
      <c r="H1478" s="50">
        <v>42557</v>
      </c>
      <c r="I1478" s="50">
        <v>42583</v>
      </c>
      <c r="J1478" s="51">
        <v>7397492.9399999995</v>
      </c>
    </row>
    <row r="1479" spans="1:10" ht="33" outlineLevel="1" x14ac:dyDescent="0.25">
      <c r="A1479" s="768"/>
      <c r="B1479" s="764"/>
      <c r="C1479" s="116" t="s">
        <v>37</v>
      </c>
      <c r="D1479" s="59">
        <v>82276.72</v>
      </c>
      <c r="E1479" s="60" t="s">
        <v>555</v>
      </c>
      <c r="F1479" s="60" t="s">
        <v>554</v>
      </c>
      <c r="G1479" s="61">
        <f>69726.03*1.18</f>
        <v>82276.715400000001</v>
      </c>
      <c r="H1479" s="62">
        <v>42429</v>
      </c>
      <c r="I1479" s="62">
        <v>42429</v>
      </c>
      <c r="J1479" s="63">
        <v>82276.72</v>
      </c>
    </row>
    <row r="1480" spans="1:10" ht="17.25" outlineLevel="1" thickBot="1" x14ac:dyDescent="0.3">
      <c r="A1480" s="724" t="s">
        <v>628</v>
      </c>
      <c r="B1480" s="725"/>
      <c r="C1480" s="284"/>
      <c r="D1480" s="222">
        <f>SUM(D1478:D1479)</f>
        <v>7479769.6600000001</v>
      </c>
      <c r="E1480" s="90"/>
      <c r="F1480" s="90"/>
      <c r="G1480" s="323">
        <f>SUM(G1478:G1479)</f>
        <v>6807278.2154000001</v>
      </c>
      <c r="H1480" s="90"/>
      <c r="I1480" s="108"/>
      <c r="J1480" s="222">
        <f>SUM(J1478:J1479)</f>
        <v>7479769.6599999992</v>
      </c>
    </row>
    <row r="1481" spans="1:10" s="4" customFormat="1" ht="33" x14ac:dyDescent="0.25">
      <c r="A1481" s="767">
        <v>7</v>
      </c>
      <c r="B1481" s="769" t="s">
        <v>327</v>
      </c>
      <c r="C1481" s="109" t="s">
        <v>500</v>
      </c>
      <c r="D1481" s="48">
        <v>9557519.0099999998</v>
      </c>
      <c r="E1481" s="70" t="s">
        <v>778</v>
      </c>
      <c r="F1481" s="70" t="s">
        <v>779</v>
      </c>
      <c r="G1481" s="49">
        <v>8765782.6699999999</v>
      </c>
      <c r="H1481" s="50">
        <v>42557</v>
      </c>
      <c r="I1481" s="50">
        <v>42583</v>
      </c>
      <c r="J1481" s="51">
        <v>9557519.0099999998</v>
      </c>
    </row>
    <row r="1482" spans="1:10" ht="33" outlineLevel="1" x14ac:dyDescent="0.25">
      <c r="A1482" s="768"/>
      <c r="B1482" s="764"/>
      <c r="C1482" s="116" t="s">
        <v>37</v>
      </c>
      <c r="D1482" s="59">
        <v>80018.81</v>
      </c>
      <c r="E1482" s="60" t="s">
        <v>555</v>
      </c>
      <c r="F1482" s="60" t="s">
        <v>554</v>
      </c>
      <c r="G1482" s="61">
        <f>67812.55*1.18</f>
        <v>80018.808999999994</v>
      </c>
      <c r="H1482" s="62">
        <v>42429</v>
      </c>
      <c r="I1482" s="62">
        <v>42429</v>
      </c>
      <c r="J1482" s="63">
        <v>80018.81</v>
      </c>
    </row>
    <row r="1483" spans="1:10" ht="17.25" outlineLevel="1" thickBot="1" x14ac:dyDescent="0.3">
      <c r="A1483" s="686" t="s">
        <v>628</v>
      </c>
      <c r="B1483" s="687"/>
      <c r="C1483" s="321"/>
      <c r="D1483" s="222">
        <f>SUM(D1481:D1482)</f>
        <v>9637537.8200000003</v>
      </c>
      <c r="E1483" s="88"/>
      <c r="F1483" s="88"/>
      <c r="G1483" s="323">
        <f>SUM(G1481:G1482)</f>
        <v>8845801.4790000003</v>
      </c>
      <c r="H1483" s="88"/>
      <c r="I1483" s="130"/>
      <c r="J1483" s="222">
        <f>SUM(J1481:J1482)</f>
        <v>9637537.8200000003</v>
      </c>
    </row>
    <row r="1484" spans="1:10" s="22" customFormat="1" ht="33" x14ac:dyDescent="0.25">
      <c r="A1484" s="767">
        <v>8</v>
      </c>
      <c r="B1484" s="769" t="s">
        <v>573</v>
      </c>
      <c r="C1484" s="109" t="s">
        <v>500</v>
      </c>
      <c r="D1484" s="48">
        <v>12186000</v>
      </c>
      <c r="E1484" s="70" t="s">
        <v>951</v>
      </c>
      <c r="F1484" s="70" t="s">
        <v>779</v>
      </c>
      <c r="G1484" s="49">
        <v>12186000</v>
      </c>
      <c r="H1484" s="50">
        <v>42643</v>
      </c>
      <c r="I1484" s="50">
        <v>42717</v>
      </c>
      <c r="J1484" s="51">
        <v>12186000</v>
      </c>
    </row>
    <row r="1485" spans="1:10" ht="33" outlineLevel="1" x14ac:dyDescent="0.25">
      <c r="A1485" s="768"/>
      <c r="B1485" s="764"/>
      <c r="C1485" s="116" t="s">
        <v>37</v>
      </c>
      <c r="D1485" s="59">
        <v>100345.43</v>
      </c>
      <c r="E1485" s="60" t="s">
        <v>555</v>
      </c>
      <c r="F1485" s="60" t="s">
        <v>554</v>
      </c>
      <c r="G1485" s="61">
        <f>85038.5*1.18</f>
        <v>100345.43</v>
      </c>
      <c r="H1485" s="62">
        <v>42429</v>
      </c>
      <c r="I1485" s="62">
        <v>42429</v>
      </c>
      <c r="J1485" s="63">
        <v>100345.43</v>
      </c>
    </row>
    <row r="1486" spans="1:10" ht="17.25" outlineLevel="1" thickBot="1" x14ac:dyDescent="0.3">
      <c r="A1486" s="686" t="s">
        <v>628</v>
      </c>
      <c r="B1486" s="687"/>
      <c r="C1486" s="321"/>
      <c r="D1486" s="222">
        <f>SUM(D1484:D1485)</f>
        <v>12286345.43</v>
      </c>
      <c r="E1486" s="88"/>
      <c r="F1486" s="88"/>
      <c r="G1486" s="323">
        <f>SUM(G1484:G1485)</f>
        <v>12286345.43</v>
      </c>
      <c r="H1486" s="88"/>
      <c r="I1486" s="130"/>
      <c r="J1486" s="222">
        <f>SUM(J1484:J1485)</f>
        <v>12286345.43</v>
      </c>
    </row>
    <row r="1487" spans="1:10" s="4" customFormat="1" ht="33" x14ac:dyDescent="0.25">
      <c r="A1487" s="767">
        <v>9</v>
      </c>
      <c r="B1487" s="769" t="s">
        <v>574</v>
      </c>
      <c r="C1487" s="109" t="s">
        <v>500</v>
      </c>
      <c r="D1487" s="48">
        <v>11308773.880000001</v>
      </c>
      <c r="E1487" s="70" t="s">
        <v>860</v>
      </c>
      <c r="F1487" s="70" t="s">
        <v>861</v>
      </c>
      <c r="G1487" s="148">
        <v>11205098.279999999</v>
      </c>
      <c r="H1487" s="50">
        <v>42618</v>
      </c>
      <c r="I1487" s="50">
        <v>42671</v>
      </c>
      <c r="J1487" s="51">
        <v>10499627.32</v>
      </c>
    </row>
    <row r="1488" spans="1:10" ht="33" outlineLevel="1" x14ac:dyDescent="0.25">
      <c r="A1488" s="768"/>
      <c r="B1488" s="764"/>
      <c r="C1488" s="116" t="s">
        <v>37</v>
      </c>
      <c r="D1488" s="59">
        <v>111278.07</v>
      </c>
      <c r="E1488" s="60" t="s">
        <v>555</v>
      </c>
      <c r="F1488" s="60" t="s">
        <v>554</v>
      </c>
      <c r="G1488" s="61">
        <f>94303.45*1.18</f>
        <v>111278.071</v>
      </c>
      <c r="H1488" s="62">
        <v>42429</v>
      </c>
      <c r="I1488" s="62">
        <v>42429</v>
      </c>
      <c r="J1488" s="63">
        <v>111278.07</v>
      </c>
    </row>
    <row r="1489" spans="1:10" ht="17.25" outlineLevel="1" thickBot="1" x14ac:dyDescent="0.3">
      <c r="A1489" s="686" t="s">
        <v>628</v>
      </c>
      <c r="B1489" s="687"/>
      <c r="C1489" s="321"/>
      <c r="D1489" s="222">
        <f>SUM(D1487:D1488)</f>
        <v>11420051.950000001</v>
      </c>
      <c r="E1489" s="88"/>
      <c r="F1489" s="88"/>
      <c r="G1489" s="323">
        <f>SUM(G1487:G1488)</f>
        <v>11316376.351</v>
      </c>
      <c r="H1489" s="88"/>
      <c r="I1489" s="130"/>
      <c r="J1489" s="222">
        <f>SUM(J1487:J1488)</f>
        <v>10610905.390000001</v>
      </c>
    </row>
    <row r="1490" spans="1:10" s="4" customFormat="1" ht="15.75" customHeight="1" x14ac:dyDescent="0.25">
      <c r="A1490" s="767">
        <v>10</v>
      </c>
      <c r="B1490" s="777" t="s">
        <v>308</v>
      </c>
      <c r="C1490" s="70" t="s">
        <v>38</v>
      </c>
      <c r="D1490" s="51">
        <v>2235324.98</v>
      </c>
      <c r="E1490" s="749" t="s">
        <v>700</v>
      </c>
      <c r="F1490" s="690" t="s">
        <v>686</v>
      </c>
      <c r="G1490" s="148">
        <v>2279119.64</v>
      </c>
      <c r="H1490" s="50">
        <v>42551</v>
      </c>
      <c r="I1490" s="50">
        <v>42540</v>
      </c>
      <c r="J1490" s="51">
        <v>2235324.98</v>
      </c>
    </row>
    <row r="1491" spans="1:10" ht="16.5" outlineLevel="1" x14ac:dyDescent="0.25">
      <c r="A1491" s="768"/>
      <c r="B1491" s="775"/>
      <c r="C1491" s="91" t="s">
        <v>34</v>
      </c>
      <c r="D1491" s="52">
        <v>2586317.64</v>
      </c>
      <c r="E1491" s="750"/>
      <c r="F1491" s="681"/>
      <c r="G1491" s="149">
        <v>2647540.9300000002</v>
      </c>
      <c r="H1491" s="75">
        <v>42582</v>
      </c>
      <c r="I1491" s="75">
        <v>42540</v>
      </c>
      <c r="J1491" s="52">
        <v>2586317.64</v>
      </c>
    </row>
    <row r="1492" spans="1:10" ht="16.5" outlineLevel="1" x14ac:dyDescent="0.25">
      <c r="A1492" s="768"/>
      <c r="B1492" s="775"/>
      <c r="C1492" s="91" t="s">
        <v>35</v>
      </c>
      <c r="D1492" s="52">
        <v>667168.09</v>
      </c>
      <c r="E1492" s="751"/>
      <c r="F1492" s="682"/>
      <c r="G1492" s="149">
        <v>682961.91</v>
      </c>
      <c r="H1492" s="76">
        <v>42551</v>
      </c>
      <c r="I1492" s="75">
        <v>42540</v>
      </c>
      <c r="J1492" s="52">
        <v>667168.09</v>
      </c>
    </row>
    <row r="1493" spans="1:10" ht="33" outlineLevel="1" x14ac:dyDescent="0.25">
      <c r="A1493" s="768"/>
      <c r="B1493" s="775"/>
      <c r="C1493" s="91" t="s">
        <v>36</v>
      </c>
      <c r="D1493" s="52">
        <v>837144.57</v>
      </c>
      <c r="E1493" s="91" t="s">
        <v>898</v>
      </c>
      <c r="F1493" s="220" t="s">
        <v>897</v>
      </c>
      <c r="G1493" s="149">
        <v>1008756.04</v>
      </c>
      <c r="H1493" s="75">
        <v>42638</v>
      </c>
      <c r="I1493" s="76">
        <v>42642</v>
      </c>
      <c r="J1493" s="52">
        <v>837144.57</v>
      </c>
    </row>
    <row r="1494" spans="1:10" ht="29.25" customHeight="1" outlineLevel="1" x14ac:dyDescent="0.25">
      <c r="A1494" s="768"/>
      <c r="B1494" s="775"/>
      <c r="C1494" s="91" t="s">
        <v>500</v>
      </c>
      <c r="D1494" s="52">
        <v>3929586.01</v>
      </c>
      <c r="E1494" s="91" t="s">
        <v>693</v>
      </c>
      <c r="F1494" s="91" t="s">
        <v>692</v>
      </c>
      <c r="G1494" s="149">
        <v>3974417.78</v>
      </c>
      <c r="H1494" s="75">
        <v>42505</v>
      </c>
      <c r="I1494" s="75">
        <v>42506</v>
      </c>
      <c r="J1494" s="52">
        <v>3929586.0100000002</v>
      </c>
    </row>
    <row r="1495" spans="1:10" ht="33" outlineLevel="1" x14ac:dyDescent="0.25">
      <c r="A1495" s="768"/>
      <c r="B1495" s="775"/>
      <c r="C1495" s="91" t="s">
        <v>501</v>
      </c>
      <c r="D1495" s="52">
        <v>9700000</v>
      </c>
      <c r="E1495" s="91" t="s">
        <v>927</v>
      </c>
      <c r="F1495" s="91" t="s">
        <v>928</v>
      </c>
      <c r="G1495" s="149">
        <v>8300000</v>
      </c>
      <c r="H1495" s="75">
        <v>42620</v>
      </c>
      <c r="I1495" s="75">
        <v>42710</v>
      </c>
      <c r="J1495" s="52">
        <v>8233687.1799999997</v>
      </c>
    </row>
    <row r="1496" spans="1:10" ht="49.5" outlineLevel="1" x14ac:dyDescent="0.25">
      <c r="A1496" s="768"/>
      <c r="B1496" s="775"/>
      <c r="C1496" s="116" t="s">
        <v>37</v>
      </c>
      <c r="D1496" s="59">
        <v>549734.52</v>
      </c>
      <c r="E1496" s="60" t="s">
        <v>577</v>
      </c>
      <c r="F1496" s="60" t="s">
        <v>537</v>
      </c>
      <c r="G1496" s="61">
        <f>512561.64*1.18</f>
        <v>604822.7352</v>
      </c>
      <c r="H1496" s="62">
        <v>42394</v>
      </c>
      <c r="I1496" s="62">
        <v>42381</v>
      </c>
      <c r="J1496" s="63">
        <v>549734.52</v>
      </c>
    </row>
    <row r="1497" spans="1:10" ht="17.25" outlineLevel="1" thickBot="1" x14ac:dyDescent="0.3">
      <c r="A1497" s="686" t="s">
        <v>628</v>
      </c>
      <c r="B1497" s="687"/>
      <c r="C1497" s="156"/>
      <c r="D1497" s="157">
        <f>SUM(D1490:D1496)</f>
        <v>20505275.809999999</v>
      </c>
      <c r="E1497" s="88"/>
      <c r="F1497" s="88"/>
      <c r="G1497" s="158">
        <f>SUM(G1490:G1496)</f>
        <v>19497619.0352</v>
      </c>
      <c r="H1497" s="88"/>
      <c r="I1497" s="130"/>
      <c r="J1497" s="157">
        <f>SUM(J1490:J1496)</f>
        <v>19038962.989999998</v>
      </c>
    </row>
    <row r="1498" spans="1:10" s="22" customFormat="1" ht="33" x14ac:dyDescent="0.25">
      <c r="A1498" s="776">
        <v>11</v>
      </c>
      <c r="B1498" s="799" t="s">
        <v>321</v>
      </c>
      <c r="C1498" s="337" t="s">
        <v>500</v>
      </c>
      <c r="D1498" s="104">
        <v>2882495.74</v>
      </c>
      <c r="E1498" s="105" t="s">
        <v>949</v>
      </c>
      <c r="F1498" s="105" t="s">
        <v>779</v>
      </c>
      <c r="G1498" s="106">
        <v>2882495.74</v>
      </c>
      <c r="H1498" s="76">
        <v>42675</v>
      </c>
      <c r="I1498" s="76">
        <v>42717</v>
      </c>
      <c r="J1498" s="107">
        <v>2880195.92</v>
      </c>
    </row>
    <row r="1499" spans="1:10" ht="33" outlineLevel="1" x14ac:dyDescent="0.25">
      <c r="A1499" s="768"/>
      <c r="B1499" s="764"/>
      <c r="C1499" s="116" t="s">
        <v>37</v>
      </c>
      <c r="D1499" s="59">
        <v>105116.56</v>
      </c>
      <c r="E1499" s="60" t="s">
        <v>555</v>
      </c>
      <c r="F1499" s="60" t="s">
        <v>554</v>
      </c>
      <c r="G1499" s="61">
        <f>89081.83*1.18</f>
        <v>105116.5594</v>
      </c>
      <c r="H1499" s="62">
        <v>42429</v>
      </c>
      <c r="I1499" s="62">
        <v>42429</v>
      </c>
      <c r="J1499" s="63">
        <v>105116.56</v>
      </c>
    </row>
    <row r="1500" spans="1:10" ht="17.25" outlineLevel="1" thickBot="1" x14ac:dyDescent="0.3">
      <c r="A1500" s="724" t="s">
        <v>628</v>
      </c>
      <c r="B1500" s="725"/>
      <c r="C1500" s="284"/>
      <c r="D1500" s="269">
        <f>SUM(D1498:D1499)</f>
        <v>2987612.3000000003</v>
      </c>
      <c r="E1500" s="90"/>
      <c r="F1500" s="90"/>
      <c r="G1500" s="333">
        <f>SUM(G1498:G1499)</f>
        <v>2987612.2994000004</v>
      </c>
      <c r="H1500" s="90"/>
      <c r="I1500" s="108"/>
      <c r="J1500" s="269">
        <f>SUM(J1498:J1499)</f>
        <v>2985312.48</v>
      </c>
    </row>
    <row r="1501" spans="1:10" s="4" customFormat="1" ht="15.75" customHeight="1" x14ac:dyDescent="0.25">
      <c r="A1501" s="767">
        <v>12</v>
      </c>
      <c r="B1501" s="777" t="s">
        <v>309</v>
      </c>
      <c r="C1501" s="70" t="s">
        <v>38</v>
      </c>
      <c r="D1501" s="51">
        <v>2041233.57</v>
      </c>
      <c r="E1501" s="800" t="s">
        <v>691</v>
      </c>
      <c r="F1501" s="800" t="s">
        <v>692</v>
      </c>
      <c r="G1501" s="148">
        <v>2010238.99</v>
      </c>
      <c r="H1501" s="683">
        <v>42552</v>
      </c>
      <c r="I1501" s="50">
        <v>42516</v>
      </c>
      <c r="J1501" s="51">
        <v>2041233.57</v>
      </c>
    </row>
    <row r="1502" spans="1:10" ht="16.5" outlineLevel="1" x14ac:dyDescent="0.25">
      <c r="A1502" s="768"/>
      <c r="B1502" s="775"/>
      <c r="C1502" s="91" t="s">
        <v>34</v>
      </c>
      <c r="D1502" s="52">
        <v>4915759.3899999997</v>
      </c>
      <c r="E1502" s="684"/>
      <c r="F1502" s="684"/>
      <c r="G1502" s="149">
        <v>5048785.12</v>
      </c>
      <c r="H1502" s="684"/>
      <c r="I1502" s="75">
        <v>42516</v>
      </c>
      <c r="J1502" s="52">
        <v>4915759.3899999997</v>
      </c>
    </row>
    <row r="1503" spans="1:10" ht="16.5" outlineLevel="1" x14ac:dyDescent="0.25">
      <c r="A1503" s="768"/>
      <c r="B1503" s="775"/>
      <c r="C1503" s="91" t="s">
        <v>35</v>
      </c>
      <c r="D1503" s="52">
        <v>529012.81000000006</v>
      </c>
      <c r="E1503" s="684"/>
      <c r="F1503" s="684"/>
      <c r="G1503" s="149">
        <v>563470.9</v>
      </c>
      <c r="H1503" s="684"/>
      <c r="I1503" s="75">
        <v>42516</v>
      </c>
      <c r="J1503" s="52">
        <v>529012.81000000006</v>
      </c>
    </row>
    <row r="1504" spans="1:10" ht="16.5" outlineLevel="1" x14ac:dyDescent="0.25">
      <c r="A1504" s="768"/>
      <c r="B1504" s="775"/>
      <c r="C1504" s="91" t="s">
        <v>36</v>
      </c>
      <c r="D1504" s="52">
        <v>775080.89</v>
      </c>
      <c r="E1504" s="684"/>
      <c r="F1504" s="684"/>
      <c r="G1504" s="149">
        <v>732884.3</v>
      </c>
      <c r="H1504" s="684"/>
      <c r="I1504" s="75">
        <v>42516</v>
      </c>
      <c r="J1504" s="52">
        <v>775080.8899999999</v>
      </c>
    </row>
    <row r="1505" spans="1:10" ht="33" outlineLevel="1" x14ac:dyDescent="0.25">
      <c r="A1505" s="768"/>
      <c r="B1505" s="775"/>
      <c r="C1505" s="140" t="s">
        <v>501</v>
      </c>
      <c r="D1505" s="121">
        <v>9715053.2799999993</v>
      </c>
      <c r="E1505" s="194" t="s">
        <v>1149</v>
      </c>
      <c r="F1505" s="194" t="s">
        <v>1146</v>
      </c>
      <c r="G1505" s="207">
        <v>9715053.2799999993</v>
      </c>
      <c r="H1505" s="55">
        <v>42825</v>
      </c>
      <c r="I1505" s="56"/>
      <c r="J1505" s="57"/>
    </row>
    <row r="1506" spans="1:10" ht="49.5" outlineLevel="1" x14ac:dyDescent="0.25">
      <c r="A1506" s="768"/>
      <c r="B1506" s="775"/>
      <c r="C1506" s="116" t="s">
        <v>37</v>
      </c>
      <c r="D1506" s="59">
        <v>590115.98</v>
      </c>
      <c r="E1506" s="60" t="s">
        <v>577</v>
      </c>
      <c r="F1506" s="60" t="s">
        <v>537</v>
      </c>
      <c r="G1506" s="61">
        <f>500098.29*1.18</f>
        <v>590115.98219999997</v>
      </c>
      <c r="H1506" s="62">
        <v>42394</v>
      </c>
      <c r="I1506" s="62">
        <v>42381</v>
      </c>
      <c r="J1506" s="63">
        <v>590115.98</v>
      </c>
    </row>
    <row r="1507" spans="1:10" ht="17.25" outlineLevel="1" thickBot="1" x14ac:dyDescent="0.3">
      <c r="A1507" s="686" t="s">
        <v>628</v>
      </c>
      <c r="B1507" s="687"/>
      <c r="C1507" s="156"/>
      <c r="D1507" s="157">
        <f>SUM(D1501:D1506)</f>
        <v>18566255.919999998</v>
      </c>
      <c r="E1507" s="88"/>
      <c r="F1507" s="88"/>
      <c r="G1507" s="158">
        <f>SUM(G1501:G1506)</f>
        <v>18660548.5722</v>
      </c>
      <c r="H1507" s="88"/>
      <c r="I1507" s="130"/>
      <c r="J1507" s="157">
        <f>SUM(J1501:J1506)</f>
        <v>8851202.6399999987</v>
      </c>
    </row>
    <row r="1508" spans="1:10" s="4" customFormat="1" ht="15.75" customHeight="1" x14ac:dyDescent="0.25">
      <c r="A1508" s="776">
        <v>13</v>
      </c>
      <c r="B1508" s="774" t="s">
        <v>310</v>
      </c>
      <c r="C1508" s="105" t="s">
        <v>38</v>
      </c>
      <c r="D1508" s="107">
        <v>1313404.08</v>
      </c>
      <c r="E1508" s="681" t="s">
        <v>691</v>
      </c>
      <c r="F1508" s="681" t="s">
        <v>692</v>
      </c>
      <c r="G1508" s="226">
        <v>1314036.3400000001</v>
      </c>
      <c r="H1508" s="676">
        <v>42552</v>
      </c>
      <c r="I1508" s="76">
        <v>42487</v>
      </c>
      <c r="J1508" s="107">
        <v>1313404.08</v>
      </c>
    </row>
    <row r="1509" spans="1:10" ht="16.5" outlineLevel="1" x14ac:dyDescent="0.25">
      <c r="A1509" s="768"/>
      <c r="B1509" s="775"/>
      <c r="C1509" s="91" t="s">
        <v>34</v>
      </c>
      <c r="D1509" s="52">
        <v>3835380.7</v>
      </c>
      <c r="E1509" s="681"/>
      <c r="F1509" s="681"/>
      <c r="G1509" s="149">
        <v>3801144.59</v>
      </c>
      <c r="H1509" s="681"/>
      <c r="I1509" s="75">
        <v>42506</v>
      </c>
      <c r="J1509" s="52">
        <v>3835380.6999999997</v>
      </c>
    </row>
    <row r="1510" spans="1:10" ht="16.5" outlineLevel="1" x14ac:dyDescent="0.25">
      <c r="A1510" s="768"/>
      <c r="B1510" s="775"/>
      <c r="C1510" s="91" t="s">
        <v>35</v>
      </c>
      <c r="D1510" s="52">
        <v>527651.41</v>
      </c>
      <c r="E1510" s="681"/>
      <c r="F1510" s="681"/>
      <c r="G1510" s="149">
        <v>455685.65</v>
      </c>
      <c r="H1510" s="681"/>
      <c r="I1510" s="75">
        <v>42506</v>
      </c>
      <c r="J1510" s="52">
        <v>527651.41</v>
      </c>
    </row>
    <row r="1511" spans="1:10" ht="16.5" outlineLevel="1" x14ac:dyDescent="0.25">
      <c r="A1511" s="768"/>
      <c r="B1511" s="775"/>
      <c r="C1511" s="91" t="s">
        <v>36</v>
      </c>
      <c r="D1511" s="52">
        <v>544456.47</v>
      </c>
      <c r="E1511" s="682"/>
      <c r="F1511" s="682"/>
      <c r="G1511" s="149">
        <v>474835.58</v>
      </c>
      <c r="H1511" s="682"/>
      <c r="I1511" s="76">
        <v>42487</v>
      </c>
      <c r="J1511" s="107">
        <v>544456.47</v>
      </c>
    </row>
    <row r="1512" spans="1:10" ht="27.75" customHeight="1" outlineLevel="1" x14ac:dyDescent="0.25">
      <c r="A1512" s="768"/>
      <c r="B1512" s="775"/>
      <c r="C1512" s="91" t="s">
        <v>500</v>
      </c>
      <c r="D1512" s="52">
        <v>3632881.41</v>
      </c>
      <c r="E1512" s="91" t="s">
        <v>701</v>
      </c>
      <c r="F1512" s="91" t="s">
        <v>702</v>
      </c>
      <c r="G1512" s="149">
        <v>3725430.67</v>
      </c>
      <c r="H1512" s="75">
        <v>42515</v>
      </c>
      <c r="I1512" s="75">
        <v>42520</v>
      </c>
      <c r="J1512" s="52">
        <v>3612024.89</v>
      </c>
    </row>
    <row r="1513" spans="1:10" s="24" customFormat="1" ht="33" outlineLevel="1" x14ac:dyDescent="0.25">
      <c r="A1513" s="768"/>
      <c r="B1513" s="775"/>
      <c r="C1513" s="579" t="s">
        <v>501</v>
      </c>
      <c r="D1513" s="577">
        <v>7691026.9419999998</v>
      </c>
      <c r="E1513" s="579" t="s">
        <v>1057</v>
      </c>
      <c r="F1513" s="579" t="s">
        <v>791</v>
      </c>
      <c r="G1513" s="149">
        <v>7300000</v>
      </c>
      <c r="H1513" s="578">
        <v>42809</v>
      </c>
      <c r="I1513" s="578">
        <v>42843</v>
      </c>
      <c r="J1513" s="577">
        <v>7592289.0599999996</v>
      </c>
    </row>
    <row r="1514" spans="1:10" ht="49.5" outlineLevel="1" x14ac:dyDescent="0.25">
      <c r="A1514" s="768"/>
      <c r="B1514" s="775"/>
      <c r="C1514" s="116" t="s">
        <v>37</v>
      </c>
      <c r="D1514" s="59">
        <v>584472</v>
      </c>
      <c r="E1514" s="60" t="s">
        <v>577</v>
      </c>
      <c r="F1514" s="60" t="s">
        <v>537</v>
      </c>
      <c r="G1514" s="61">
        <f>495315.25*1.18</f>
        <v>584471.995</v>
      </c>
      <c r="H1514" s="62">
        <v>42394</v>
      </c>
      <c r="I1514" s="62">
        <v>42381</v>
      </c>
      <c r="J1514" s="63">
        <v>584472</v>
      </c>
    </row>
    <row r="1515" spans="1:10" ht="17.25" outlineLevel="1" thickBot="1" x14ac:dyDescent="0.3">
      <c r="A1515" s="686" t="s">
        <v>628</v>
      </c>
      <c r="B1515" s="687"/>
      <c r="C1515" s="156"/>
      <c r="D1515" s="157">
        <f>SUM(D1508:D1514)</f>
        <v>18129273.012000002</v>
      </c>
      <c r="E1515" s="88"/>
      <c r="F1515" s="88"/>
      <c r="G1515" s="158">
        <f>SUM(G1508:G1514)</f>
        <v>17655604.824999999</v>
      </c>
      <c r="H1515" s="88"/>
      <c r="I1515" s="130"/>
      <c r="J1515" s="157">
        <f>SUM(J1508:J1514)</f>
        <v>18009678.609999999</v>
      </c>
    </row>
    <row r="1516" spans="1:10" s="4" customFormat="1" ht="33" x14ac:dyDescent="0.25">
      <c r="A1516" s="776">
        <v>14</v>
      </c>
      <c r="B1516" s="774" t="s">
        <v>311</v>
      </c>
      <c r="C1516" s="104" t="s">
        <v>500</v>
      </c>
      <c r="D1516" s="104">
        <v>6107948.1200000001</v>
      </c>
      <c r="E1516" s="105" t="s">
        <v>701</v>
      </c>
      <c r="F1516" s="105" t="s">
        <v>702</v>
      </c>
      <c r="G1516" s="106">
        <v>6262516.3700000001</v>
      </c>
      <c r="H1516" s="76">
        <v>42515</v>
      </c>
      <c r="I1516" s="75">
        <v>42520</v>
      </c>
      <c r="J1516" s="107">
        <v>6107948.1200000001</v>
      </c>
    </row>
    <row r="1517" spans="1:10" ht="33" outlineLevel="1" x14ac:dyDescent="0.25">
      <c r="A1517" s="768"/>
      <c r="B1517" s="775"/>
      <c r="C1517" s="73" t="s">
        <v>501</v>
      </c>
      <c r="D1517" s="73">
        <v>9819707.4800000004</v>
      </c>
      <c r="E1517" s="609" t="s">
        <v>1151</v>
      </c>
      <c r="F1517" s="609" t="s">
        <v>1152</v>
      </c>
      <c r="G1517" s="74">
        <v>9300000</v>
      </c>
      <c r="H1517" s="612">
        <v>42809</v>
      </c>
      <c r="I1517" s="612">
        <v>42884</v>
      </c>
      <c r="J1517" s="610">
        <v>9299992.1799999997</v>
      </c>
    </row>
    <row r="1518" spans="1:10" ht="49.5" outlineLevel="1" x14ac:dyDescent="0.25">
      <c r="A1518" s="768"/>
      <c r="B1518" s="775"/>
      <c r="C1518" s="116" t="s">
        <v>37</v>
      </c>
      <c r="D1518" s="59">
        <v>197739.7</v>
      </c>
      <c r="E1518" s="60" t="s">
        <v>577</v>
      </c>
      <c r="F1518" s="60" t="s">
        <v>537</v>
      </c>
      <c r="G1518" s="61">
        <f>167576.02*1.18</f>
        <v>197739.70359999998</v>
      </c>
      <c r="H1518" s="62">
        <v>42394</v>
      </c>
      <c r="I1518" s="62">
        <v>42381</v>
      </c>
      <c r="J1518" s="63">
        <v>197739.7</v>
      </c>
    </row>
    <row r="1519" spans="1:10" ht="17.25" outlineLevel="1" thickBot="1" x14ac:dyDescent="0.3">
      <c r="A1519" s="686" t="s">
        <v>628</v>
      </c>
      <c r="B1519" s="687"/>
      <c r="C1519" s="223"/>
      <c r="D1519" s="222">
        <f>SUM(D1516:D1518)</f>
        <v>16125395.300000001</v>
      </c>
      <c r="E1519" s="88"/>
      <c r="F1519" s="88"/>
      <c r="G1519" s="323">
        <f>SUM(G1516:G1518)</f>
        <v>15760256.073600002</v>
      </c>
      <c r="H1519" s="88"/>
      <c r="I1519" s="130"/>
      <c r="J1519" s="222">
        <f>SUM(J1516:J1518)</f>
        <v>15605680</v>
      </c>
    </row>
    <row r="1520" spans="1:10" s="4" customFormat="1" ht="33" x14ac:dyDescent="0.25">
      <c r="A1520" s="767">
        <v>15</v>
      </c>
      <c r="B1520" s="777" t="s">
        <v>312</v>
      </c>
      <c r="C1520" s="48" t="s">
        <v>500</v>
      </c>
      <c r="D1520" s="48">
        <v>7383947.4900000002</v>
      </c>
      <c r="E1520" s="91" t="s">
        <v>703</v>
      </c>
      <c r="F1520" s="91" t="s">
        <v>702</v>
      </c>
      <c r="G1520" s="49">
        <v>7538891.8499999996</v>
      </c>
      <c r="H1520" s="75">
        <v>42515</v>
      </c>
      <c r="I1520" s="75">
        <v>42520</v>
      </c>
      <c r="J1520" s="51">
        <v>7383947.4900000002</v>
      </c>
    </row>
    <row r="1521" spans="1:10" ht="33" outlineLevel="1" x14ac:dyDescent="0.25">
      <c r="A1521" s="768"/>
      <c r="B1521" s="775"/>
      <c r="C1521" s="73" t="s">
        <v>501</v>
      </c>
      <c r="D1521" s="104">
        <v>11269531</v>
      </c>
      <c r="E1521" s="609" t="s">
        <v>1055</v>
      </c>
      <c r="F1521" s="609" t="s">
        <v>791</v>
      </c>
      <c r="G1521" s="74">
        <v>10700000</v>
      </c>
      <c r="H1521" s="612">
        <v>42809</v>
      </c>
      <c r="I1521" s="612">
        <v>42884</v>
      </c>
      <c r="J1521" s="610">
        <v>10699922.689999999</v>
      </c>
    </row>
    <row r="1522" spans="1:10" ht="49.5" outlineLevel="1" x14ac:dyDescent="0.25">
      <c r="A1522" s="768"/>
      <c r="B1522" s="775"/>
      <c r="C1522" s="116" t="s">
        <v>37</v>
      </c>
      <c r="D1522" s="59">
        <v>201739.47</v>
      </c>
      <c r="E1522" s="60" t="s">
        <v>577</v>
      </c>
      <c r="F1522" s="60" t="s">
        <v>537</v>
      </c>
      <c r="G1522" s="61">
        <f>170965.65*1.18</f>
        <v>201739.46699999998</v>
      </c>
      <c r="H1522" s="62">
        <v>42394</v>
      </c>
      <c r="I1522" s="62">
        <v>42381</v>
      </c>
      <c r="J1522" s="63">
        <v>201739.47</v>
      </c>
    </row>
    <row r="1523" spans="1:10" ht="17.25" outlineLevel="1" thickBot="1" x14ac:dyDescent="0.3">
      <c r="A1523" s="686" t="s">
        <v>628</v>
      </c>
      <c r="B1523" s="687"/>
      <c r="C1523" s="223"/>
      <c r="D1523" s="222">
        <f>SUM(D1520:D1522)</f>
        <v>18855217.960000001</v>
      </c>
      <c r="E1523" s="88"/>
      <c r="F1523" s="88"/>
      <c r="G1523" s="323">
        <f>SUM(G1520:G1522)</f>
        <v>18440631.317000002</v>
      </c>
      <c r="H1523" s="88"/>
      <c r="I1523" s="130"/>
      <c r="J1523" s="222">
        <f>SUM(J1520:J1522)</f>
        <v>18285609.649999999</v>
      </c>
    </row>
    <row r="1524" spans="1:10" s="4" customFormat="1" ht="16.5" x14ac:dyDescent="0.25">
      <c r="A1524" s="767">
        <v>16</v>
      </c>
      <c r="B1524" s="777" t="s">
        <v>313</v>
      </c>
      <c r="C1524" s="48" t="s">
        <v>501</v>
      </c>
      <c r="D1524" s="48">
        <v>6792021</v>
      </c>
      <c r="E1524" s="644" t="s">
        <v>1144</v>
      </c>
      <c r="F1524" s="644" t="s">
        <v>787</v>
      </c>
      <c r="G1524" s="49">
        <v>6790000</v>
      </c>
      <c r="H1524" s="645">
        <v>42809</v>
      </c>
      <c r="I1524" s="645">
        <v>42887</v>
      </c>
      <c r="J1524" s="51">
        <v>6422492.8099999996</v>
      </c>
    </row>
    <row r="1525" spans="1:10" ht="49.5" outlineLevel="1" x14ac:dyDescent="0.25">
      <c r="A1525" s="768"/>
      <c r="B1525" s="775"/>
      <c r="C1525" s="116" t="s">
        <v>37</v>
      </c>
      <c r="D1525" s="59">
        <v>95178.92</v>
      </c>
      <c r="E1525" s="60" t="s">
        <v>577</v>
      </c>
      <c r="F1525" s="60" t="s">
        <v>537</v>
      </c>
      <c r="G1525" s="61">
        <f>80660.1*1.18</f>
        <v>95178.918000000005</v>
      </c>
      <c r="H1525" s="62">
        <v>42394</v>
      </c>
      <c r="I1525" s="62">
        <v>42381</v>
      </c>
      <c r="J1525" s="63">
        <v>95178.92</v>
      </c>
    </row>
    <row r="1526" spans="1:10" ht="17.25" outlineLevel="1" thickBot="1" x14ac:dyDescent="0.3">
      <c r="A1526" s="724" t="s">
        <v>628</v>
      </c>
      <c r="B1526" s="725"/>
      <c r="C1526" s="272"/>
      <c r="D1526" s="269">
        <f>SUM(D1524:D1525)</f>
        <v>6887199.9199999999</v>
      </c>
      <c r="E1526" s="90"/>
      <c r="F1526" s="90"/>
      <c r="G1526" s="333">
        <f>SUM(G1524:G1525)</f>
        <v>6885178.9179999996</v>
      </c>
      <c r="H1526" s="90"/>
      <c r="I1526" s="108"/>
      <c r="J1526" s="269">
        <f>SUM(J1524:J1525)</f>
        <v>6517671.7299999995</v>
      </c>
    </row>
    <row r="1527" spans="1:10" s="4" customFormat="1" ht="15.75" customHeight="1" x14ac:dyDescent="0.25">
      <c r="A1527" s="767">
        <v>17</v>
      </c>
      <c r="B1527" s="777" t="s">
        <v>314</v>
      </c>
      <c r="C1527" s="70" t="s">
        <v>38</v>
      </c>
      <c r="D1527" s="51">
        <v>1474088.34</v>
      </c>
      <c r="E1527" s="749" t="s">
        <v>700</v>
      </c>
      <c r="F1527" s="690" t="s">
        <v>686</v>
      </c>
      <c r="G1527" s="148">
        <v>1502015.16</v>
      </c>
      <c r="H1527" s="50">
        <v>42551</v>
      </c>
      <c r="I1527" s="50">
        <v>42580</v>
      </c>
      <c r="J1527" s="51">
        <v>1474088.34</v>
      </c>
    </row>
    <row r="1528" spans="1:10" ht="16.5" outlineLevel="1" x14ac:dyDescent="0.25">
      <c r="A1528" s="768"/>
      <c r="B1528" s="775"/>
      <c r="C1528" s="91" t="s">
        <v>34</v>
      </c>
      <c r="D1528" s="52">
        <v>4299626.33</v>
      </c>
      <c r="E1528" s="750"/>
      <c r="F1528" s="681"/>
      <c r="G1528" s="149">
        <v>4533518.0599999996</v>
      </c>
      <c r="H1528" s="75">
        <v>42582</v>
      </c>
      <c r="I1528" s="75">
        <v>42580</v>
      </c>
      <c r="J1528" s="52">
        <v>4299626.33</v>
      </c>
    </row>
    <row r="1529" spans="1:10" ht="16.5" outlineLevel="1" x14ac:dyDescent="0.25">
      <c r="A1529" s="768"/>
      <c r="B1529" s="775"/>
      <c r="C1529" s="91" t="s">
        <v>35</v>
      </c>
      <c r="D1529" s="91">
        <v>946103.1</v>
      </c>
      <c r="E1529" s="751"/>
      <c r="F1529" s="682"/>
      <c r="G1529" s="149">
        <v>968499.19</v>
      </c>
      <c r="H1529" s="76">
        <v>42551</v>
      </c>
      <c r="I1529" s="75">
        <v>42580</v>
      </c>
      <c r="J1529" s="52">
        <v>946103.1</v>
      </c>
    </row>
    <row r="1530" spans="1:10" ht="33" outlineLevel="1" x14ac:dyDescent="0.25">
      <c r="A1530" s="768"/>
      <c r="B1530" s="775"/>
      <c r="C1530" s="91" t="s">
        <v>36</v>
      </c>
      <c r="D1530" s="91">
        <v>1070580.8400000001</v>
      </c>
      <c r="E1530" s="91" t="s">
        <v>898</v>
      </c>
      <c r="F1530" s="91" t="s">
        <v>897</v>
      </c>
      <c r="G1530" s="149">
        <v>1301052.6599999999</v>
      </c>
      <c r="H1530" s="75">
        <v>42638</v>
      </c>
      <c r="I1530" s="75">
        <v>42642</v>
      </c>
      <c r="J1530" s="52">
        <v>1070580.8400000001</v>
      </c>
    </row>
    <row r="1531" spans="1:10" ht="33" outlineLevel="1" x14ac:dyDescent="0.25">
      <c r="A1531" s="768"/>
      <c r="B1531" s="775"/>
      <c r="C1531" s="140" t="s">
        <v>501</v>
      </c>
      <c r="D1531" s="121">
        <v>12240339.119999999</v>
      </c>
      <c r="E1531" s="194" t="s">
        <v>1148</v>
      </c>
      <c r="F1531" s="194" t="s">
        <v>1146</v>
      </c>
      <c r="G1531" s="207">
        <v>12240339.119999999</v>
      </c>
      <c r="H1531" s="55">
        <v>42825</v>
      </c>
      <c r="I1531" s="56"/>
      <c r="J1531" s="57"/>
    </row>
    <row r="1532" spans="1:10" ht="49.5" outlineLevel="1" x14ac:dyDescent="0.25">
      <c r="A1532" s="768"/>
      <c r="B1532" s="775"/>
      <c r="C1532" s="116" t="s">
        <v>37</v>
      </c>
      <c r="D1532" s="59">
        <v>530522.25</v>
      </c>
      <c r="E1532" s="60" t="s">
        <v>577</v>
      </c>
      <c r="F1532" s="60" t="s">
        <v>537</v>
      </c>
      <c r="G1532" s="61">
        <f>500816.11*1.18</f>
        <v>590963.0098</v>
      </c>
      <c r="H1532" s="62">
        <v>42394</v>
      </c>
      <c r="I1532" s="62">
        <v>42381</v>
      </c>
      <c r="J1532" s="63">
        <v>530522.25</v>
      </c>
    </row>
    <row r="1533" spans="1:10" ht="17.25" outlineLevel="1" thickBot="1" x14ac:dyDescent="0.3">
      <c r="A1533" s="686" t="s">
        <v>628</v>
      </c>
      <c r="B1533" s="687"/>
      <c r="C1533" s="156"/>
      <c r="D1533" s="157">
        <f>SUM(D1527:D1532)</f>
        <v>20561259.979999997</v>
      </c>
      <c r="E1533" s="88"/>
      <c r="F1533" s="88"/>
      <c r="G1533" s="158">
        <f>SUM(G1527:G1532)</f>
        <v>21136387.199799996</v>
      </c>
      <c r="H1533" s="88"/>
      <c r="I1533" s="130"/>
      <c r="J1533" s="157">
        <f>SUM(J1527:J1532)</f>
        <v>8320920.8599999994</v>
      </c>
    </row>
    <row r="1534" spans="1:10" s="4" customFormat="1" ht="16.5" x14ac:dyDescent="0.25">
      <c r="A1534" s="767">
        <v>18</v>
      </c>
      <c r="B1534" s="777" t="s">
        <v>315</v>
      </c>
      <c r="C1534" s="70" t="s">
        <v>38</v>
      </c>
      <c r="D1534" s="52">
        <v>2163101.25</v>
      </c>
      <c r="E1534" s="749" t="s">
        <v>700</v>
      </c>
      <c r="F1534" s="690" t="s">
        <v>686</v>
      </c>
      <c r="G1534" s="51">
        <v>2205451.2000000002</v>
      </c>
      <c r="H1534" s="50">
        <v>42551</v>
      </c>
      <c r="I1534" s="50">
        <v>42580</v>
      </c>
      <c r="J1534" s="51">
        <v>2163101.25</v>
      </c>
    </row>
    <row r="1535" spans="1:10" ht="16.5" outlineLevel="1" x14ac:dyDescent="0.25">
      <c r="A1535" s="768"/>
      <c r="B1535" s="775"/>
      <c r="C1535" s="91" t="s">
        <v>34</v>
      </c>
      <c r="D1535" s="52">
        <v>2143567.5699999998</v>
      </c>
      <c r="E1535" s="750"/>
      <c r="F1535" s="681"/>
      <c r="G1535" s="226">
        <v>2194309.6800000002</v>
      </c>
      <c r="H1535" s="75">
        <v>42582</v>
      </c>
      <c r="I1535" s="75">
        <v>42580</v>
      </c>
      <c r="J1535" s="52">
        <v>2143567.5699999998</v>
      </c>
    </row>
    <row r="1536" spans="1:10" ht="16.5" outlineLevel="1" x14ac:dyDescent="0.25">
      <c r="A1536" s="768"/>
      <c r="B1536" s="775"/>
      <c r="C1536" s="91" t="s">
        <v>35</v>
      </c>
      <c r="D1536" s="91">
        <v>573019.52</v>
      </c>
      <c r="E1536" s="751"/>
      <c r="F1536" s="682"/>
      <c r="G1536" s="149">
        <v>586584.23</v>
      </c>
      <c r="H1536" s="76">
        <v>42551</v>
      </c>
      <c r="I1536" s="75">
        <v>42580</v>
      </c>
      <c r="J1536" s="52">
        <v>573019.52</v>
      </c>
    </row>
    <row r="1537" spans="1:10" ht="33" outlineLevel="1" x14ac:dyDescent="0.25">
      <c r="A1537" s="768"/>
      <c r="B1537" s="775"/>
      <c r="C1537" s="91" t="s">
        <v>36</v>
      </c>
      <c r="D1537" s="91">
        <v>1294408.6100000001</v>
      </c>
      <c r="E1537" s="91" t="s">
        <v>898</v>
      </c>
      <c r="F1537" s="91" t="s">
        <v>897</v>
      </c>
      <c r="G1537" s="149">
        <v>1563962.56</v>
      </c>
      <c r="H1537" s="75">
        <v>42638</v>
      </c>
      <c r="I1537" s="75">
        <v>42642</v>
      </c>
      <c r="J1537" s="52">
        <v>1294408.6100000001</v>
      </c>
    </row>
    <row r="1538" spans="1:10" ht="33" outlineLevel="1" x14ac:dyDescent="0.25">
      <c r="A1538" s="768"/>
      <c r="B1538" s="775"/>
      <c r="C1538" s="91" t="s">
        <v>500</v>
      </c>
      <c r="D1538" s="52">
        <v>8874136.6600000001</v>
      </c>
      <c r="E1538" s="91" t="s">
        <v>703</v>
      </c>
      <c r="F1538" s="91" t="s">
        <v>702</v>
      </c>
      <c r="G1538" s="149">
        <v>9092840.0500000007</v>
      </c>
      <c r="H1538" s="75">
        <v>42515</v>
      </c>
      <c r="I1538" s="75">
        <v>42520</v>
      </c>
      <c r="J1538" s="52">
        <v>8874136.6600000001</v>
      </c>
    </row>
    <row r="1539" spans="1:10" ht="33" outlineLevel="1" x14ac:dyDescent="0.25">
      <c r="A1539" s="768"/>
      <c r="B1539" s="775"/>
      <c r="C1539" s="140" t="s">
        <v>501</v>
      </c>
      <c r="D1539" s="121">
        <v>11908901.02</v>
      </c>
      <c r="E1539" s="194" t="s">
        <v>1156</v>
      </c>
      <c r="F1539" s="194" t="s">
        <v>1146</v>
      </c>
      <c r="G1539" s="207">
        <v>11908901.02</v>
      </c>
      <c r="H1539" s="55">
        <v>42825</v>
      </c>
      <c r="I1539" s="56"/>
      <c r="J1539" s="57"/>
    </row>
    <row r="1540" spans="1:10" ht="49.5" outlineLevel="1" x14ac:dyDescent="0.25">
      <c r="A1540" s="768"/>
      <c r="B1540" s="775"/>
      <c r="C1540" s="116" t="s">
        <v>37</v>
      </c>
      <c r="D1540" s="59">
        <v>531942.09</v>
      </c>
      <c r="E1540" s="60" t="s">
        <v>577</v>
      </c>
      <c r="F1540" s="60" t="s">
        <v>537</v>
      </c>
      <c r="G1540" s="61">
        <f>492119.15*1.18</f>
        <v>580700.59699999995</v>
      </c>
      <c r="H1540" s="62">
        <v>42394</v>
      </c>
      <c r="I1540" s="62">
        <v>42381</v>
      </c>
      <c r="J1540" s="63">
        <v>531942.09</v>
      </c>
    </row>
    <row r="1541" spans="1:10" ht="17.25" outlineLevel="1" thickBot="1" x14ac:dyDescent="0.3">
      <c r="A1541" s="686" t="s">
        <v>628</v>
      </c>
      <c r="B1541" s="687"/>
      <c r="C1541" s="156"/>
      <c r="D1541" s="157">
        <f>SUM(D1534:D1540)</f>
        <v>27489076.719999999</v>
      </c>
      <c r="E1541" s="88"/>
      <c r="F1541" s="88"/>
      <c r="G1541" s="158">
        <f>SUM(G1534:G1540)</f>
        <v>28132749.337000001</v>
      </c>
      <c r="H1541" s="88"/>
      <c r="I1541" s="130"/>
      <c r="J1541" s="157">
        <f>SUM(J1534:J1540)</f>
        <v>15580175.699999999</v>
      </c>
    </row>
    <row r="1542" spans="1:10" s="4" customFormat="1" ht="33" customHeight="1" x14ac:dyDescent="0.25">
      <c r="A1542" s="767">
        <v>19</v>
      </c>
      <c r="B1542" s="769" t="s">
        <v>318</v>
      </c>
      <c r="C1542" s="70" t="s">
        <v>500</v>
      </c>
      <c r="D1542" s="51">
        <v>2708009.5</v>
      </c>
      <c r="E1542" s="70" t="s">
        <v>812</v>
      </c>
      <c r="F1542" s="70" t="s">
        <v>731</v>
      </c>
      <c r="G1542" s="148">
        <v>3100000</v>
      </c>
      <c r="H1542" s="50">
        <v>42566</v>
      </c>
      <c r="I1542" s="50">
        <v>42573</v>
      </c>
      <c r="J1542" s="51">
        <v>2708009.5</v>
      </c>
    </row>
    <row r="1543" spans="1:10" ht="33" outlineLevel="1" x14ac:dyDescent="0.25">
      <c r="A1543" s="768"/>
      <c r="B1543" s="764"/>
      <c r="C1543" s="116" t="s">
        <v>37</v>
      </c>
      <c r="D1543" s="59">
        <v>107115.54</v>
      </c>
      <c r="E1543" s="60" t="s">
        <v>555</v>
      </c>
      <c r="F1543" s="60" t="s">
        <v>554</v>
      </c>
      <c r="G1543" s="61">
        <f>90775.88*1.18</f>
        <v>107115.5384</v>
      </c>
      <c r="H1543" s="62">
        <v>42429</v>
      </c>
      <c r="I1543" s="62">
        <v>42429</v>
      </c>
      <c r="J1543" s="63">
        <v>107115.54</v>
      </c>
    </row>
    <row r="1544" spans="1:10" ht="17.25" outlineLevel="1" thickBot="1" x14ac:dyDescent="0.3">
      <c r="A1544" s="724" t="s">
        <v>628</v>
      </c>
      <c r="B1544" s="725"/>
      <c r="C1544" s="164"/>
      <c r="D1544" s="165">
        <f>SUM(D1542:D1543)</f>
        <v>2815125.04</v>
      </c>
      <c r="E1544" s="90"/>
      <c r="F1544" s="90"/>
      <c r="G1544" s="166">
        <f>SUM(G1542:G1543)</f>
        <v>3207115.5384</v>
      </c>
      <c r="H1544" s="90"/>
      <c r="I1544" s="108"/>
      <c r="J1544" s="165">
        <f>SUM(J1542:J1543)</f>
        <v>2815125.04</v>
      </c>
    </row>
    <row r="1545" spans="1:10" s="22" customFormat="1" ht="43.5" customHeight="1" x14ac:dyDescent="0.25">
      <c r="A1545" s="767">
        <v>20</v>
      </c>
      <c r="B1545" s="769" t="s">
        <v>328</v>
      </c>
      <c r="C1545" s="70" t="s">
        <v>500</v>
      </c>
      <c r="D1545" s="51">
        <v>6798138.1200000001</v>
      </c>
      <c r="E1545" s="70" t="s">
        <v>949</v>
      </c>
      <c r="F1545" s="70" t="s">
        <v>779</v>
      </c>
      <c r="G1545" s="148">
        <v>6798138.1200000001</v>
      </c>
      <c r="H1545" s="70" t="s">
        <v>950</v>
      </c>
      <c r="I1545" s="50">
        <v>42717</v>
      </c>
      <c r="J1545" s="51">
        <v>6796126.2199999997</v>
      </c>
    </row>
    <row r="1546" spans="1:10" ht="33" outlineLevel="1" x14ac:dyDescent="0.25">
      <c r="A1546" s="768"/>
      <c r="B1546" s="764"/>
      <c r="C1546" s="116" t="s">
        <v>37</v>
      </c>
      <c r="D1546" s="59">
        <v>89536.06</v>
      </c>
      <c r="E1546" s="60" t="s">
        <v>555</v>
      </c>
      <c r="F1546" s="60" t="s">
        <v>554</v>
      </c>
      <c r="G1546" s="61">
        <f>75878.02*1.18</f>
        <v>89536.063599999994</v>
      </c>
      <c r="H1546" s="62">
        <v>42429</v>
      </c>
      <c r="I1546" s="62">
        <v>42429</v>
      </c>
      <c r="J1546" s="63">
        <v>89536.06</v>
      </c>
    </row>
    <row r="1547" spans="1:10" ht="17.25" outlineLevel="1" thickBot="1" x14ac:dyDescent="0.3">
      <c r="A1547" s="686" t="s">
        <v>628</v>
      </c>
      <c r="B1547" s="687"/>
      <c r="C1547" s="156"/>
      <c r="D1547" s="165">
        <f>SUM(D1545:D1546)</f>
        <v>6887674.1799999997</v>
      </c>
      <c r="E1547" s="88"/>
      <c r="F1547" s="88"/>
      <c r="G1547" s="166">
        <f>SUM(G1545:G1546)</f>
        <v>6887674.1836000001</v>
      </c>
      <c r="H1547" s="88"/>
      <c r="I1547" s="130"/>
      <c r="J1547" s="165">
        <f>SUM(J1545:J1546)</f>
        <v>6885662.2799999993</v>
      </c>
    </row>
    <row r="1548" spans="1:10" s="4" customFormat="1" ht="33" customHeight="1" x14ac:dyDescent="0.25">
      <c r="A1548" s="767">
        <v>21</v>
      </c>
      <c r="B1548" s="769" t="s">
        <v>317</v>
      </c>
      <c r="C1548" s="70" t="s">
        <v>500</v>
      </c>
      <c r="D1548" s="51">
        <v>4193230.29</v>
      </c>
      <c r="E1548" s="70" t="s">
        <v>882</v>
      </c>
      <c r="F1548" s="70" t="s">
        <v>692</v>
      </c>
      <c r="G1548" s="148">
        <v>4250099.99</v>
      </c>
      <c r="H1548" s="50">
        <v>42604</v>
      </c>
      <c r="I1548" s="50">
        <v>42598</v>
      </c>
      <c r="J1548" s="51">
        <v>4193230.29</v>
      </c>
    </row>
    <row r="1549" spans="1:10" ht="33" outlineLevel="1" x14ac:dyDescent="0.25">
      <c r="A1549" s="768"/>
      <c r="B1549" s="764"/>
      <c r="C1549" s="116" t="s">
        <v>37</v>
      </c>
      <c r="D1549" s="59">
        <v>75038.87</v>
      </c>
      <c r="E1549" s="60" t="s">
        <v>555</v>
      </c>
      <c r="F1549" s="60" t="s">
        <v>554</v>
      </c>
      <c r="G1549" s="61">
        <f>63592.26*1.18</f>
        <v>75038.866800000003</v>
      </c>
      <c r="H1549" s="62">
        <v>42429</v>
      </c>
      <c r="I1549" s="62">
        <v>42429</v>
      </c>
      <c r="J1549" s="63">
        <v>75038.87</v>
      </c>
    </row>
    <row r="1550" spans="1:10" ht="17.25" outlineLevel="1" thickBot="1" x14ac:dyDescent="0.3">
      <c r="A1550" s="686" t="s">
        <v>628</v>
      </c>
      <c r="B1550" s="687"/>
      <c r="C1550" s="156"/>
      <c r="D1550" s="165">
        <f>SUM(D1548:D1549)</f>
        <v>4268269.16</v>
      </c>
      <c r="E1550" s="88"/>
      <c r="F1550" s="88"/>
      <c r="G1550" s="166">
        <f>SUM(G1548:G1549)</f>
        <v>4325138.8568000002</v>
      </c>
      <c r="H1550" s="88"/>
      <c r="I1550" s="130"/>
      <c r="J1550" s="165">
        <f>SUM(J1548:J1549)</f>
        <v>4268269.16</v>
      </c>
    </row>
    <row r="1551" spans="1:10" s="4" customFormat="1" ht="35.25" customHeight="1" x14ac:dyDescent="0.25">
      <c r="A1551" s="767">
        <v>22</v>
      </c>
      <c r="B1551" s="769" t="s">
        <v>332</v>
      </c>
      <c r="C1551" s="70" t="s">
        <v>500</v>
      </c>
      <c r="D1551" s="51">
        <v>3123742.5</v>
      </c>
      <c r="E1551" s="70" t="s">
        <v>980</v>
      </c>
      <c r="F1551" s="70" t="s">
        <v>791</v>
      </c>
      <c r="G1551" s="148">
        <v>2900000</v>
      </c>
      <c r="H1551" s="50">
        <v>42641</v>
      </c>
      <c r="I1551" s="50">
        <v>42641</v>
      </c>
      <c r="J1551" s="51">
        <v>2890786.5</v>
      </c>
    </row>
    <row r="1552" spans="1:10" ht="33" outlineLevel="1" x14ac:dyDescent="0.25">
      <c r="A1552" s="768"/>
      <c r="B1552" s="764"/>
      <c r="C1552" s="116" t="s">
        <v>37</v>
      </c>
      <c r="D1552" s="59">
        <v>79716.679999999993</v>
      </c>
      <c r="E1552" s="60" t="s">
        <v>555</v>
      </c>
      <c r="F1552" s="60" t="s">
        <v>554</v>
      </c>
      <c r="G1552" s="61">
        <f>67556.51*1.18</f>
        <v>79716.681799999991</v>
      </c>
      <c r="H1552" s="62">
        <v>42429</v>
      </c>
      <c r="I1552" s="62">
        <v>42429</v>
      </c>
      <c r="J1552" s="63">
        <v>79716.679999999993</v>
      </c>
    </row>
    <row r="1553" spans="1:10" ht="17.25" outlineLevel="1" thickBot="1" x14ac:dyDescent="0.3">
      <c r="A1553" s="686" t="s">
        <v>628</v>
      </c>
      <c r="B1553" s="687"/>
      <c r="C1553" s="156"/>
      <c r="D1553" s="165">
        <f>SUM(D1551:D1552)</f>
        <v>3203459.18</v>
      </c>
      <c r="E1553" s="88"/>
      <c r="F1553" s="88"/>
      <c r="G1553" s="166">
        <f>SUM(G1551:G1552)</f>
        <v>2979716.6817999999</v>
      </c>
      <c r="H1553" s="88"/>
      <c r="I1553" s="130"/>
      <c r="J1553" s="165">
        <f>SUM(J1551:J1552)</f>
        <v>2970503.18</v>
      </c>
    </row>
    <row r="1554" spans="1:10" s="4" customFormat="1" ht="42.75" customHeight="1" x14ac:dyDescent="0.25">
      <c r="A1554" s="767">
        <v>23</v>
      </c>
      <c r="B1554" s="769" t="s">
        <v>333</v>
      </c>
      <c r="C1554" s="70" t="s">
        <v>500</v>
      </c>
      <c r="D1554" s="51">
        <v>3126177.8</v>
      </c>
      <c r="E1554" s="70" t="s">
        <v>882</v>
      </c>
      <c r="F1554" s="70" t="s">
        <v>692</v>
      </c>
      <c r="G1554" s="148">
        <v>3130900.01</v>
      </c>
      <c r="H1554" s="50">
        <v>42604</v>
      </c>
      <c r="I1554" s="50">
        <v>42598</v>
      </c>
      <c r="J1554" s="51">
        <v>3126177.8</v>
      </c>
    </row>
    <row r="1555" spans="1:10" ht="33" outlineLevel="1" x14ac:dyDescent="0.25">
      <c r="A1555" s="768"/>
      <c r="B1555" s="764"/>
      <c r="C1555" s="116" t="s">
        <v>37</v>
      </c>
      <c r="D1555" s="59">
        <v>79367.320000000007</v>
      </c>
      <c r="E1555" s="60" t="s">
        <v>555</v>
      </c>
      <c r="F1555" s="60" t="s">
        <v>554</v>
      </c>
      <c r="G1555" s="61">
        <f>67260.44*1.18</f>
        <v>79367.319199999998</v>
      </c>
      <c r="H1555" s="62">
        <v>42429</v>
      </c>
      <c r="I1555" s="62">
        <v>42429</v>
      </c>
      <c r="J1555" s="63">
        <v>79367.320000000007</v>
      </c>
    </row>
    <row r="1556" spans="1:10" ht="17.25" outlineLevel="1" thickBot="1" x14ac:dyDescent="0.3">
      <c r="A1556" s="686" t="s">
        <v>628</v>
      </c>
      <c r="B1556" s="687"/>
      <c r="C1556" s="156"/>
      <c r="D1556" s="157">
        <f>SUM(D1554:D1555)</f>
        <v>3205545.1199999996</v>
      </c>
      <c r="E1556" s="88"/>
      <c r="F1556" s="88"/>
      <c r="G1556" s="158">
        <f>SUM(G1554:G1555)</f>
        <v>3210267.3291999996</v>
      </c>
      <c r="H1556" s="88"/>
      <c r="I1556" s="130"/>
      <c r="J1556" s="157">
        <f>SUM(J1554:J1555)</f>
        <v>3205545.1199999996</v>
      </c>
    </row>
    <row r="1557" spans="1:10" s="4" customFormat="1" ht="30" customHeight="1" x14ac:dyDescent="0.25">
      <c r="A1557" s="776">
        <v>24</v>
      </c>
      <c r="B1557" s="799" t="s">
        <v>334</v>
      </c>
      <c r="C1557" s="105" t="s">
        <v>500</v>
      </c>
      <c r="D1557" s="107">
        <v>4674783.2699999996</v>
      </c>
      <c r="E1557" s="105" t="s">
        <v>790</v>
      </c>
      <c r="F1557" s="105" t="s">
        <v>791</v>
      </c>
      <c r="G1557" s="226">
        <v>4250000</v>
      </c>
      <c r="H1557" s="76">
        <v>42566</v>
      </c>
      <c r="I1557" s="76">
        <v>42576</v>
      </c>
      <c r="J1557" s="107">
        <v>4674783.2699999996</v>
      </c>
    </row>
    <row r="1558" spans="1:10" ht="33" outlineLevel="1" x14ac:dyDescent="0.25">
      <c r="A1558" s="768"/>
      <c r="B1558" s="764"/>
      <c r="C1558" s="116" t="s">
        <v>37</v>
      </c>
      <c r="D1558" s="59">
        <v>80491.649999999994</v>
      </c>
      <c r="E1558" s="60" t="s">
        <v>555</v>
      </c>
      <c r="F1558" s="60" t="s">
        <v>554</v>
      </c>
      <c r="G1558" s="61">
        <f>68213.26*1.18</f>
        <v>80491.646799999988</v>
      </c>
      <c r="H1558" s="62">
        <v>42429</v>
      </c>
      <c r="I1558" s="62">
        <v>42429</v>
      </c>
      <c r="J1558" s="63">
        <v>80491.649999999994</v>
      </c>
    </row>
    <row r="1559" spans="1:10" ht="17.25" outlineLevel="1" thickBot="1" x14ac:dyDescent="0.3">
      <c r="A1559" s="686" t="s">
        <v>628</v>
      </c>
      <c r="B1559" s="687"/>
      <c r="C1559" s="156"/>
      <c r="D1559" s="165">
        <f>SUM(D1557:D1558)</f>
        <v>4755274.92</v>
      </c>
      <c r="E1559" s="88"/>
      <c r="F1559" s="88"/>
      <c r="G1559" s="166">
        <f>SUM(G1557:G1558)</f>
        <v>4330491.6468000002</v>
      </c>
      <c r="H1559" s="88"/>
      <c r="I1559" s="130"/>
      <c r="J1559" s="165">
        <f>SUM(J1557:J1558)</f>
        <v>4755274.92</v>
      </c>
    </row>
    <row r="1560" spans="1:10" s="4" customFormat="1" ht="39" customHeight="1" x14ac:dyDescent="0.25">
      <c r="A1560" s="767">
        <v>25</v>
      </c>
      <c r="B1560" s="769" t="s">
        <v>335</v>
      </c>
      <c r="C1560" s="70" t="s">
        <v>500</v>
      </c>
      <c r="D1560" s="51">
        <v>4674783.2699999996</v>
      </c>
      <c r="E1560" s="91" t="s">
        <v>790</v>
      </c>
      <c r="F1560" s="70" t="s">
        <v>791</v>
      </c>
      <c r="G1560" s="148">
        <v>4250000</v>
      </c>
      <c r="H1560" s="50">
        <v>42566</v>
      </c>
      <c r="I1560" s="50">
        <v>42576</v>
      </c>
      <c r="J1560" s="51">
        <v>4674783.2699999996</v>
      </c>
    </row>
    <row r="1561" spans="1:10" ht="33" outlineLevel="1" x14ac:dyDescent="0.25">
      <c r="A1561" s="768"/>
      <c r="B1561" s="764"/>
      <c r="C1561" s="116" t="s">
        <v>37</v>
      </c>
      <c r="D1561" s="59">
        <v>80588.55</v>
      </c>
      <c r="E1561" s="60" t="s">
        <v>555</v>
      </c>
      <c r="F1561" s="60" t="s">
        <v>554</v>
      </c>
      <c r="G1561" s="61">
        <f>68295.38*1.18</f>
        <v>80588.5484</v>
      </c>
      <c r="H1561" s="62">
        <v>42429</v>
      </c>
      <c r="I1561" s="62">
        <v>42429</v>
      </c>
      <c r="J1561" s="63">
        <v>80588.55</v>
      </c>
    </row>
    <row r="1562" spans="1:10" ht="17.25" outlineLevel="1" thickBot="1" x14ac:dyDescent="0.3">
      <c r="A1562" s="686" t="s">
        <v>628</v>
      </c>
      <c r="B1562" s="687"/>
      <c r="C1562" s="156"/>
      <c r="D1562" s="165">
        <f>SUM(D1560:D1561)</f>
        <v>4755371.8199999994</v>
      </c>
      <c r="E1562" s="88"/>
      <c r="F1562" s="88"/>
      <c r="G1562" s="166">
        <f>SUM(G1560:G1561)</f>
        <v>4330588.5483999997</v>
      </c>
      <c r="H1562" s="88"/>
      <c r="I1562" s="130"/>
      <c r="J1562" s="165">
        <f>SUM(J1560:J1561)</f>
        <v>4755371.8199999994</v>
      </c>
    </row>
    <row r="1563" spans="1:10" s="4" customFormat="1" ht="33" x14ac:dyDescent="0.25">
      <c r="A1563" s="767">
        <v>26</v>
      </c>
      <c r="B1563" s="769" t="s">
        <v>324</v>
      </c>
      <c r="C1563" s="70" t="s">
        <v>500</v>
      </c>
      <c r="D1563" s="51">
        <v>11237350.050000001</v>
      </c>
      <c r="E1563" s="91" t="s">
        <v>860</v>
      </c>
      <c r="F1563" s="70" t="s">
        <v>861</v>
      </c>
      <c r="G1563" s="148">
        <v>11286435.68</v>
      </c>
      <c r="H1563" s="50">
        <v>42618</v>
      </c>
      <c r="I1563" s="50">
        <v>42643</v>
      </c>
      <c r="J1563" s="51">
        <v>11237350.050000001</v>
      </c>
    </row>
    <row r="1564" spans="1:10" ht="33" outlineLevel="1" x14ac:dyDescent="0.25">
      <c r="A1564" s="768"/>
      <c r="B1564" s="764"/>
      <c r="C1564" s="116" t="s">
        <v>37</v>
      </c>
      <c r="D1564" s="59">
        <v>100438.54</v>
      </c>
      <c r="E1564" s="60" t="s">
        <v>555</v>
      </c>
      <c r="F1564" s="60" t="s">
        <v>554</v>
      </c>
      <c r="G1564" s="61">
        <f>85117.41*1.18</f>
        <v>100438.5438</v>
      </c>
      <c r="H1564" s="62">
        <v>42429</v>
      </c>
      <c r="I1564" s="62">
        <v>42429</v>
      </c>
      <c r="J1564" s="63">
        <v>100438.54</v>
      </c>
    </row>
    <row r="1565" spans="1:10" ht="17.25" outlineLevel="1" thickBot="1" x14ac:dyDescent="0.3">
      <c r="A1565" s="686" t="s">
        <v>628</v>
      </c>
      <c r="B1565" s="687"/>
      <c r="C1565" s="156"/>
      <c r="D1565" s="165">
        <f>SUM(D1563:D1564)</f>
        <v>11337788.59</v>
      </c>
      <c r="E1565" s="88"/>
      <c r="F1565" s="88"/>
      <c r="G1565" s="157">
        <f>SUM(G1563:G1564)</f>
        <v>11386874.2238</v>
      </c>
      <c r="H1565" s="88"/>
      <c r="I1565" s="130"/>
      <c r="J1565" s="157">
        <f>SUM(J1563:J1564)</f>
        <v>11337788.59</v>
      </c>
    </row>
    <row r="1566" spans="1:10" s="28" customFormat="1" ht="33" outlineLevel="1" x14ac:dyDescent="0.25">
      <c r="A1566" s="377">
        <v>27</v>
      </c>
      <c r="B1566" s="378" t="s">
        <v>326</v>
      </c>
      <c r="C1566" s="116" t="s">
        <v>37</v>
      </c>
      <c r="D1566" s="379">
        <v>80016.36</v>
      </c>
      <c r="E1566" s="60" t="s">
        <v>555</v>
      </c>
      <c r="F1566" s="60" t="s">
        <v>554</v>
      </c>
      <c r="G1566" s="380">
        <f>67810.47*1.18</f>
        <v>80016.354599999991</v>
      </c>
      <c r="H1566" s="62">
        <v>42429</v>
      </c>
      <c r="I1566" s="62">
        <v>42429</v>
      </c>
      <c r="J1566" s="273">
        <v>80016.36</v>
      </c>
    </row>
    <row r="1567" spans="1:10" ht="15" customHeight="1" outlineLevel="1" thickBot="1" x14ac:dyDescent="0.3">
      <c r="A1567" s="781" t="s">
        <v>628</v>
      </c>
      <c r="B1567" s="792"/>
      <c r="C1567" s="156"/>
      <c r="D1567" s="157">
        <f>SUM(D1566:D1566)</f>
        <v>80016.36</v>
      </c>
      <c r="E1567" s="88"/>
      <c r="F1567" s="88"/>
      <c r="G1567" s="158">
        <f>SUM(G1566:G1566)</f>
        <v>80016.354599999991</v>
      </c>
      <c r="H1567" s="88"/>
      <c r="I1567" s="130"/>
      <c r="J1567" s="157">
        <f>SUM(J1566:J1566)</f>
        <v>80016.36</v>
      </c>
    </row>
    <row r="1568" spans="1:10" s="4" customFormat="1" ht="30.75" customHeight="1" x14ac:dyDescent="0.25">
      <c r="A1568" s="776">
        <v>28</v>
      </c>
      <c r="B1568" s="799" t="s">
        <v>325</v>
      </c>
      <c r="C1568" s="105" t="s">
        <v>500</v>
      </c>
      <c r="D1568" s="107">
        <v>2496312</v>
      </c>
      <c r="E1568" s="105" t="s">
        <v>876</v>
      </c>
      <c r="F1568" s="105" t="s">
        <v>877</v>
      </c>
      <c r="G1568" s="226">
        <v>2645206</v>
      </c>
      <c r="H1568" s="76">
        <v>42613</v>
      </c>
      <c r="I1568" s="76">
        <v>42655</v>
      </c>
      <c r="J1568" s="107">
        <v>2496312</v>
      </c>
    </row>
    <row r="1569" spans="1:10" ht="33" outlineLevel="1" x14ac:dyDescent="0.25">
      <c r="A1569" s="768"/>
      <c r="B1569" s="764"/>
      <c r="C1569" s="116" t="s">
        <v>37</v>
      </c>
      <c r="D1569" s="59">
        <v>71242.39</v>
      </c>
      <c r="E1569" s="60" t="s">
        <v>555</v>
      </c>
      <c r="F1569" s="60" t="s">
        <v>554</v>
      </c>
      <c r="G1569" s="61">
        <f>60374.91*1.18</f>
        <v>71242.393800000005</v>
      </c>
      <c r="H1569" s="62">
        <v>42429</v>
      </c>
      <c r="I1569" s="62">
        <v>42429</v>
      </c>
      <c r="J1569" s="63">
        <v>71242.39</v>
      </c>
    </row>
    <row r="1570" spans="1:10" ht="17.25" outlineLevel="1" thickBot="1" x14ac:dyDescent="0.3">
      <c r="A1570" s="724" t="s">
        <v>628</v>
      </c>
      <c r="B1570" s="725"/>
      <c r="C1570" s="164"/>
      <c r="D1570" s="165">
        <f>SUM(D1568:D1569)</f>
        <v>2567554.39</v>
      </c>
      <c r="E1570" s="90"/>
      <c r="F1570" s="90"/>
      <c r="G1570" s="166">
        <f>SUM(G1568:G1569)</f>
        <v>2716448.3938000002</v>
      </c>
      <c r="H1570" s="90"/>
      <c r="I1570" s="108"/>
      <c r="J1570" s="165">
        <f>SUM(J1568:J1569)</f>
        <v>2567554.39</v>
      </c>
    </row>
    <row r="1571" spans="1:10" s="4" customFormat="1" ht="33" x14ac:dyDescent="0.25">
      <c r="A1571" s="767">
        <v>29</v>
      </c>
      <c r="B1571" s="769" t="s">
        <v>316</v>
      </c>
      <c r="C1571" s="70" t="s">
        <v>500</v>
      </c>
      <c r="D1571" s="51">
        <v>11136414.84</v>
      </c>
      <c r="E1571" s="70" t="s">
        <v>860</v>
      </c>
      <c r="F1571" s="70" t="s">
        <v>861</v>
      </c>
      <c r="G1571" s="148">
        <v>11279505.539999999</v>
      </c>
      <c r="H1571" s="50">
        <v>42618</v>
      </c>
      <c r="I1571" s="50">
        <v>42627</v>
      </c>
      <c r="J1571" s="51">
        <v>11136414.84</v>
      </c>
    </row>
    <row r="1572" spans="1:10" ht="33" outlineLevel="1" x14ac:dyDescent="0.25">
      <c r="A1572" s="768"/>
      <c r="B1572" s="764"/>
      <c r="C1572" s="116" t="s">
        <v>37</v>
      </c>
      <c r="D1572" s="59">
        <v>110981.31</v>
      </c>
      <c r="E1572" s="60" t="s">
        <v>555</v>
      </c>
      <c r="F1572" s="60" t="s">
        <v>554</v>
      </c>
      <c r="G1572" s="61">
        <f>94051.96*1.18</f>
        <v>110981.3128</v>
      </c>
      <c r="H1572" s="62">
        <v>42429</v>
      </c>
      <c r="I1572" s="62">
        <v>42429</v>
      </c>
      <c r="J1572" s="63">
        <v>110981.31</v>
      </c>
    </row>
    <row r="1573" spans="1:10" ht="17.25" outlineLevel="1" thickBot="1" x14ac:dyDescent="0.3">
      <c r="A1573" s="686" t="s">
        <v>628</v>
      </c>
      <c r="B1573" s="687"/>
      <c r="C1573" s="156"/>
      <c r="D1573" s="165">
        <f>SUM(D1571:D1572)</f>
        <v>11247396.15</v>
      </c>
      <c r="E1573" s="88"/>
      <c r="F1573" s="88"/>
      <c r="G1573" s="166">
        <f>SUM(G1571:G1572)</f>
        <v>11390486.852799999</v>
      </c>
      <c r="H1573" s="88"/>
      <c r="I1573" s="130"/>
      <c r="J1573" s="165">
        <f>SUM(J1571:J1572)</f>
        <v>11247396.15</v>
      </c>
    </row>
    <row r="1574" spans="1:10" s="4" customFormat="1" ht="45.75" customHeight="1" x14ac:dyDescent="0.25">
      <c r="A1574" s="767">
        <v>30</v>
      </c>
      <c r="B1574" s="769" t="s">
        <v>323</v>
      </c>
      <c r="C1574" s="70" t="s">
        <v>500</v>
      </c>
      <c r="D1574" s="51">
        <v>6693394</v>
      </c>
      <c r="E1574" s="70" t="s">
        <v>876</v>
      </c>
      <c r="F1574" s="70" t="s">
        <v>877</v>
      </c>
      <c r="G1574" s="148">
        <v>6790164</v>
      </c>
      <c r="H1574" s="50">
        <v>42613</v>
      </c>
      <c r="I1574" s="50">
        <v>42655</v>
      </c>
      <c r="J1574" s="51">
        <v>6693394</v>
      </c>
    </row>
    <row r="1575" spans="1:10" ht="33" outlineLevel="1" x14ac:dyDescent="0.25">
      <c r="A1575" s="768"/>
      <c r="B1575" s="764"/>
      <c r="C1575" s="116" t="s">
        <v>37</v>
      </c>
      <c r="D1575" s="59">
        <v>100014.29</v>
      </c>
      <c r="E1575" s="60" t="s">
        <v>555</v>
      </c>
      <c r="F1575" s="60" t="s">
        <v>554</v>
      </c>
      <c r="G1575" s="61">
        <f>84757.87*1.18</f>
        <v>100014.28659999999</v>
      </c>
      <c r="H1575" s="62">
        <v>42429</v>
      </c>
      <c r="I1575" s="62">
        <v>42429</v>
      </c>
      <c r="J1575" s="63">
        <v>100014.29</v>
      </c>
    </row>
    <row r="1576" spans="1:10" ht="17.25" outlineLevel="1" thickBot="1" x14ac:dyDescent="0.3">
      <c r="A1576" s="686" t="s">
        <v>628</v>
      </c>
      <c r="B1576" s="687"/>
      <c r="C1576" s="156"/>
      <c r="D1576" s="157">
        <f>SUM(D1574:D1575)</f>
        <v>6793408.29</v>
      </c>
      <c r="E1576" s="88"/>
      <c r="F1576" s="88"/>
      <c r="G1576" s="158">
        <f>SUM(G1574:G1575)</f>
        <v>6890178.2866000002</v>
      </c>
      <c r="H1576" s="88"/>
      <c r="I1576" s="130"/>
      <c r="J1576" s="157">
        <f>SUM(J1574:J1575)</f>
        <v>6793408.29</v>
      </c>
    </row>
    <row r="1577" spans="1:10" ht="28.5" customHeight="1" outlineLevel="1" x14ac:dyDescent="0.25">
      <c r="A1577" s="785">
        <v>31</v>
      </c>
      <c r="B1577" s="786" t="s">
        <v>687</v>
      </c>
      <c r="C1577" s="70" t="s">
        <v>38</v>
      </c>
      <c r="D1577" s="51">
        <v>758114</v>
      </c>
      <c r="E1577" s="690" t="s">
        <v>756</v>
      </c>
      <c r="F1577" s="690" t="s">
        <v>757</v>
      </c>
      <c r="G1577" s="381">
        <v>804040.9</v>
      </c>
      <c r="H1577" s="675">
        <v>42305</v>
      </c>
      <c r="I1577" s="50">
        <v>42451</v>
      </c>
      <c r="J1577" s="51">
        <v>758114</v>
      </c>
    </row>
    <row r="1578" spans="1:10" ht="15" customHeight="1" outlineLevel="1" x14ac:dyDescent="0.25">
      <c r="A1578" s="743"/>
      <c r="B1578" s="865"/>
      <c r="C1578" s="91" t="s">
        <v>35</v>
      </c>
      <c r="D1578" s="52">
        <v>489333.22</v>
      </c>
      <c r="E1578" s="681"/>
      <c r="F1578" s="681"/>
      <c r="G1578" s="74">
        <v>489333.21</v>
      </c>
      <c r="H1578" s="681"/>
      <c r="I1578" s="75">
        <v>42705</v>
      </c>
      <c r="J1578" s="52">
        <v>264987.15000000002</v>
      </c>
    </row>
    <row r="1579" spans="1:10" ht="16.5" outlineLevel="1" x14ac:dyDescent="0.25">
      <c r="A1579" s="743"/>
      <c r="B1579" s="865"/>
      <c r="C1579" s="91" t="s">
        <v>36</v>
      </c>
      <c r="D1579" s="52">
        <v>742117.8</v>
      </c>
      <c r="E1579" s="681"/>
      <c r="F1579" s="681"/>
      <c r="G1579" s="74">
        <v>742118.1</v>
      </c>
      <c r="H1579" s="681"/>
      <c r="I1579" s="75">
        <v>42705</v>
      </c>
      <c r="J1579" s="52">
        <v>134441.87</v>
      </c>
    </row>
    <row r="1580" spans="1:10" ht="16.5" outlineLevel="1" x14ac:dyDescent="0.25">
      <c r="A1580" s="743"/>
      <c r="B1580" s="865"/>
      <c r="C1580" s="220" t="s">
        <v>501</v>
      </c>
      <c r="D1580" s="52">
        <v>6525795.4699999997</v>
      </c>
      <c r="E1580" s="682"/>
      <c r="F1580" s="682"/>
      <c r="G1580" s="74">
        <v>6984572.6399999997</v>
      </c>
      <c r="H1580" s="682"/>
      <c r="I1580" s="76">
        <v>42451</v>
      </c>
      <c r="J1580" s="107">
        <v>6525795.4699999988</v>
      </c>
    </row>
    <row r="1581" spans="1:10" ht="15.75" customHeight="1" outlineLevel="1" thickBot="1" x14ac:dyDescent="0.3">
      <c r="A1581" s="781" t="s">
        <v>628</v>
      </c>
      <c r="B1581" s="782"/>
      <c r="C1581" s="307"/>
      <c r="D1581" s="157">
        <f>SUM(D1577:D1580)</f>
        <v>8515360.4900000002</v>
      </c>
      <c r="E1581" s="88"/>
      <c r="F1581" s="88"/>
      <c r="G1581" s="158">
        <f>SUM(G1577:G1580)</f>
        <v>9020064.8499999996</v>
      </c>
      <c r="H1581" s="88"/>
      <c r="I1581" s="130"/>
      <c r="J1581" s="157">
        <f>SUM(J1577:J1580)</f>
        <v>7683338.4899999984</v>
      </c>
    </row>
    <row r="1582" spans="1:10" ht="36" customHeight="1" outlineLevel="1" x14ac:dyDescent="0.25">
      <c r="A1582" s="382">
        <v>32</v>
      </c>
      <c r="B1582" s="383" t="s">
        <v>1009</v>
      </c>
      <c r="C1582" s="384" t="s">
        <v>501</v>
      </c>
      <c r="D1582" s="51">
        <v>415908.04</v>
      </c>
      <c r="E1582" s="70" t="s">
        <v>1018</v>
      </c>
      <c r="F1582" s="70" t="s">
        <v>787</v>
      </c>
      <c r="G1582" s="148">
        <v>451999</v>
      </c>
      <c r="H1582" s="50">
        <v>42658</v>
      </c>
      <c r="I1582" s="50">
        <v>42658</v>
      </c>
      <c r="J1582" s="51">
        <v>415908.04</v>
      </c>
    </row>
    <row r="1583" spans="1:10" ht="15.75" customHeight="1" outlineLevel="1" thickBot="1" x14ac:dyDescent="0.3">
      <c r="A1583" s="781" t="s">
        <v>628</v>
      </c>
      <c r="B1583" s="782"/>
      <c r="C1583" s="385"/>
      <c r="D1583" s="157">
        <f>D1582</f>
        <v>415908.04</v>
      </c>
      <c r="E1583" s="88"/>
      <c r="F1583" s="88"/>
      <c r="G1583" s="157">
        <f>G1582</f>
        <v>451999</v>
      </c>
      <c r="H1583" s="88"/>
      <c r="I1583" s="130"/>
      <c r="J1583" s="157">
        <f>J1582</f>
        <v>415908.04</v>
      </c>
    </row>
    <row r="1584" spans="1:10" s="7" customFormat="1" ht="19.5" customHeight="1" outlineLevel="1" x14ac:dyDescent="0.25">
      <c r="A1584" s="857" t="s">
        <v>1008</v>
      </c>
      <c r="B1584" s="858"/>
      <c r="C1584" s="859"/>
      <c r="D1584" s="132">
        <v>2763585.31</v>
      </c>
      <c r="E1584" s="133"/>
      <c r="F1584" s="134"/>
      <c r="G1584" s="135">
        <f>SUM(G1585:G1605)</f>
        <v>2765585.3062</v>
      </c>
      <c r="H1584" s="136"/>
      <c r="I1584" s="137"/>
      <c r="J1584" s="135">
        <f>SUM(J1585:J1605)</f>
        <v>2763585.31</v>
      </c>
    </row>
    <row r="1585" spans="1:10" s="7" customFormat="1" ht="32.25" customHeight="1" outlineLevel="1" x14ac:dyDescent="0.25">
      <c r="A1585" s="870"/>
      <c r="B1585" s="247" t="s">
        <v>1107</v>
      </c>
      <c r="C1585" s="110" t="s">
        <v>37</v>
      </c>
      <c r="D1585" s="73"/>
      <c r="E1585" s="707" t="s">
        <v>1126</v>
      </c>
      <c r="F1585" s="694" t="s">
        <v>537</v>
      </c>
      <c r="G1585" s="73">
        <v>92933.79</v>
      </c>
      <c r="H1585" s="713">
        <v>42699</v>
      </c>
      <c r="I1585" s="713">
        <v>42836</v>
      </c>
      <c r="J1585" s="73">
        <v>92933.790000000008</v>
      </c>
    </row>
    <row r="1586" spans="1:10" s="7" customFormat="1" ht="30.75" customHeight="1" outlineLevel="1" x14ac:dyDescent="0.25">
      <c r="A1586" s="865"/>
      <c r="B1586" s="247" t="s">
        <v>1108</v>
      </c>
      <c r="C1586" s="110" t="s">
        <v>37</v>
      </c>
      <c r="D1586" s="73"/>
      <c r="E1586" s="708"/>
      <c r="F1586" s="710"/>
      <c r="G1586" s="73">
        <v>98329.3174</v>
      </c>
      <c r="H1586" s="676"/>
      <c r="I1586" s="678"/>
      <c r="J1586" s="73">
        <v>98329.319999999992</v>
      </c>
    </row>
    <row r="1587" spans="1:10" s="7" customFormat="1" ht="27" customHeight="1" outlineLevel="1" x14ac:dyDescent="0.25">
      <c r="A1587" s="865"/>
      <c r="B1587" s="247" t="s">
        <v>1109</v>
      </c>
      <c r="C1587" s="110" t="s">
        <v>37</v>
      </c>
      <c r="D1587" s="73"/>
      <c r="E1587" s="708"/>
      <c r="F1587" s="710"/>
      <c r="G1587" s="73">
        <v>98258.718000000008</v>
      </c>
      <c r="H1587" s="676"/>
      <c r="I1587" s="678"/>
      <c r="J1587" s="73">
        <v>98258.719999999987</v>
      </c>
    </row>
    <row r="1588" spans="1:10" s="7" customFormat="1" ht="25.5" customHeight="1" outlineLevel="1" x14ac:dyDescent="0.25">
      <c r="A1588" s="865"/>
      <c r="B1588" s="247" t="s">
        <v>1110</v>
      </c>
      <c r="C1588" s="110" t="s">
        <v>37</v>
      </c>
      <c r="D1588" s="73"/>
      <c r="E1588" s="708"/>
      <c r="F1588" s="710"/>
      <c r="G1588" s="73">
        <v>473634.03</v>
      </c>
      <c r="H1588" s="676"/>
      <c r="I1588" s="678"/>
      <c r="J1588" s="73">
        <v>473634.03</v>
      </c>
    </row>
    <row r="1589" spans="1:10" s="7" customFormat="1" ht="24.75" customHeight="1" outlineLevel="1" x14ac:dyDescent="0.25">
      <c r="A1589" s="865"/>
      <c r="B1589" s="247" t="s">
        <v>1111</v>
      </c>
      <c r="C1589" s="110" t="s">
        <v>37</v>
      </c>
      <c r="D1589" s="73"/>
      <c r="E1589" s="708"/>
      <c r="F1589" s="710"/>
      <c r="G1589" s="73">
        <v>110992.3576</v>
      </c>
      <c r="H1589" s="676"/>
      <c r="I1589" s="678"/>
      <c r="J1589" s="73">
        <v>110992.35999999999</v>
      </c>
    </row>
    <row r="1590" spans="1:10" s="7" customFormat="1" ht="27" customHeight="1" outlineLevel="1" x14ac:dyDescent="0.25">
      <c r="A1590" s="865"/>
      <c r="B1590" s="247" t="s">
        <v>1112</v>
      </c>
      <c r="C1590" s="110" t="s">
        <v>37</v>
      </c>
      <c r="D1590" s="73"/>
      <c r="E1590" s="708"/>
      <c r="F1590" s="710"/>
      <c r="G1590" s="73">
        <v>104797.38119999999</v>
      </c>
      <c r="H1590" s="676"/>
      <c r="I1590" s="678"/>
      <c r="J1590" s="73">
        <v>104797.38</v>
      </c>
    </row>
    <row r="1591" spans="1:10" s="7" customFormat="1" ht="25.5" customHeight="1" outlineLevel="1" x14ac:dyDescent="0.25">
      <c r="A1591" s="865"/>
      <c r="B1591" s="247" t="s">
        <v>1113</v>
      </c>
      <c r="C1591" s="110" t="s">
        <v>37</v>
      </c>
      <c r="D1591" s="73"/>
      <c r="E1591" s="708"/>
      <c r="F1591" s="710"/>
      <c r="G1591" s="73">
        <v>150486.57</v>
      </c>
      <c r="H1591" s="676"/>
      <c r="I1591" s="678"/>
      <c r="J1591" s="73">
        <v>150486.57</v>
      </c>
    </row>
    <row r="1592" spans="1:10" s="7" customFormat="1" ht="24.75" customHeight="1" outlineLevel="1" x14ac:dyDescent="0.25">
      <c r="A1592" s="865"/>
      <c r="B1592" s="247" t="s">
        <v>1114</v>
      </c>
      <c r="C1592" s="110" t="s">
        <v>37</v>
      </c>
      <c r="D1592" s="73"/>
      <c r="E1592" s="708"/>
      <c r="F1592" s="710"/>
      <c r="G1592" s="73">
        <v>139934.29</v>
      </c>
      <c r="H1592" s="676"/>
      <c r="I1592" s="678"/>
      <c r="J1592" s="73">
        <v>139934.29</v>
      </c>
    </row>
    <row r="1593" spans="1:10" s="7" customFormat="1" ht="27" customHeight="1" outlineLevel="1" x14ac:dyDescent="0.25">
      <c r="A1593" s="865"/>
      <c r="B1593" s="247" t="s">
        <v>1115</v>
      </c>
      <c r="C1593" s="110" t="s">
        <v>37</v>
      </c>
      <c r="D1593" s="73"/>
      <c r="E1593" s="708"/>
      <c r="F1593" s="710"/>
      <c r="G1593" s="73">
        <v>85675.115399999995</v>
      </c>
      <c r="H1593" s="676"/>
      <c r="I1593" s="678"/>
      <c r="J1593" s="73">
        <v>85675.12</v>
      </c>
    </row>
    <row r="1594" spans="1:10" s="7" customFormat="1" ht="29.25" customHeight="1" outlineLevel="1" x14ac:dyDescent="0.25">
      <c r="A1594" s="865"/>
      <c r="B1594" s="247" t="s">
        <v>328</v>
      </c>
      <c r="C1594" s="110" t="s">
        <v>37</v>
      </c>
      <c r="D1594" s="73"/>
      <c r="E1594" s="708"/>
      <c r="F1594" s="710"/>
      <c r="G1594" s="73">
        <v>92484.529599999994</v>
      </c>
      <c r="H1594" s="676"/>
      <c r="I1594" s="678"/>
      <c r="J1594" s="73">
        <v>92484.53</v>
      </c>
    </row>
    <row r="1595" spans="1:10" s="7" customFormat="1" ht="29.25" customHeight="1" outlineLevel="1" x14ac:dyDescent="0.25">
      <c r="A1595" s="865"/>
      <c r="B1595" s="247" t="s">
        <v>1116</v>
      </c>
      <c r="C1595" s="110" t="s">
        <v>37</v>
      </c>
      <c r="D1595" s="73"/>
      <c r="E1595" s="708"/>
      <c r="F1595" s="710"/>
      <c r="G1595" s="73">
        <v>374181.93</v>
      </c>
      <c r="H1595" s="676"/>
      <c r="I1595" s="678"/>
      <c r="J1595" s="73">
        <v>372181.93</v>
      </c>
    </row>
    <row r="1596" spans="1:10" s="7" customFormat="1" ht="27.75" customHeight="1" outlineLevel="1" x14ac:dyDescent="0.25">
      <c r="A1596" s="865"/>
      <c r="B1596" s="247" t="s">
        <v>1117</v>
      </c>
      <c r="C1596" s="110" t="s">
        <v>37</v>
      </c>
      <c r="D1596" s="73"/>
      <c r="E1596" s="708"/>
      <c r="F1596" s="710"/>
      <c r="G1596" s="73">
        <v>38420.457799999996</v>
      </c>
      <c r="H1596" s="676"/>
      <c r="I1596" s="678"/>
      <c r="J1596" s="73">
        <v>38420.46</v>
      </c>
    </row>
    <row r="1597" spans="1:10" s="7" customFormat="1" ht="29.25" customHeight="1" outlineLevel="1" x14ac:dyDescent="0.25">
      <c r="A1597" s="865"/>
      <c r="B1597" s="247" t="s">
        <v>1118</v>
      </c>
      <c r="C1597" s="110" t="s">
        <v>37</v>
      </c>
      <c r="D1597" s="73"/>
      <c r="E1597" s="708"/>
      <c r="F1597" s="710"/>
      <c r="G1597" s="73">
        <v>80703.043799999999</v>
      </c>
      <c r="H1597" s="676"/>
      <c r="I1597" s="678"/>
      <c r="J1597" s="73">
        <v>80703.039999999994</v>
      </c>
    </row>
    <row r="1598" spans="1:10" s="7" customFormat="1" ht="29.25" customHeight="1" outlineLevel="1" x14ac:dyDescent="0.25">
      <c r="A1598" s="865"/>
      <c r="B1598" s="247" t="s">
        <v>1119</v>
      </c>
      <c r="C1598" s="110" t="s">
        <v>37</v>
      </c>
      <c r="D1598" s="73"/>
      <c r="E1598" s="708"/>
      <c r="F1598" s="710"/>
      <c r="G1598" s="73">
        <v>80703.043799999999</v>
      </c>
      <c r="H1598" s="676"/>
      <c r="I1598" s="678"/>
      <c r="J1598" s="73">
        <v>80703.039999999994</v>
      </c>
    </row>
    <row r="1599" spans="1:10" s="7" customFormat="1" ht="27.75" customHeight="1" outlineLevel="1" x14ac:dyDescent="0.25">
      <c r="A1599" s="865"/>
      <c r="B1599" s="247" t="s">
        <v>1120</v>
      </c>
      <c r="C1599" s="110" t="s">
        <v>37</v>
      </c>
      <c r="D1599" s="73"/>
      <c r="E1599" s="708"/>
      <c r="F1599" s="710"/>
      <c r="G1599" s="73">
        <v>288743.46000000002</v>
      </c>
      <c r="H1599" s="676"/>
      <c r="I1599" s="678"/>
      <c r="J1599" s="73">
        <v>288743.46000000002</v>
      </c>
    </row>
    <row r="1600" spans="1:10" s="7" customFormat="1" ht="30.75" customHeight="1" outlineLevel="1" x14ac:dyDescent="0.25">
      <c r="A1600" s="865"/>
      <c r="B1600" s="247" t="s">
        <v>325</v>
      </c>
      <c r="C1600" s="110" t="s">
        <v>37</v>
      </c>
      <c r="D1600" s="73"/>
      <c r="E1600" s="708"/>
      <c r="F1600" s="710"/>
      <c r="G1600" s="73">
        <v>63409.400399999999</v>
      </c>
      <c r="H1600" s="676"/>
      <c r="I1600" s="678"/>
      <c r="J1600" s="73">
        <v>63409.399999999994</v>
      </c>
    </row>
    <row r="1601" spans="1:10" s="7" customFormat="1" ht="27.75" customHeight="1" outlineLevel="1" x14ac:dyDescent="0.25">
      <c r="A1601" s="865"/>
      <c r="B1601" s="247" t="s">
        <v>1121</v>
      </c>
      <c r="C1601" s="110" t="s">
        <v>37</v>
      </c>
      <c r="D1601" s="73"/>
      <c r="E1601" s="708"/>
      <c r="F1601" s="710"/>
      <c r="G1601" s="73">
        <v>59152.420599999998</v>
      </c>
      <c r="H1601" s="676"/>
      <c r="I1601" s="678"/>
      <c r="J1601" s="73">
        <v>59152.42</v>
      </c>
    </row>
    <row r="1602" spans="1:10" s="7" customFormat="1" ht="19.5" customHeight="1" outlineLevel="1" x14ac:dyDescent="0.25">
      <c r="A1602" s="865"/>
      <c r="B1602" s="247" t="s">
        <v>1122</v>
      </c>
      <c r="C1602" s="110" t="s">
        <v>37</v>
      </c>
      <c r="D1602" s="73"/>
      <c r="E1602" s="708"/>
      <c r="F1602" s="710"/>
      <c r="G1602" s="73">
        <v>68770.164000000004</v>
      </c>
      <c r="H1602" s="676"/>
      <c r="I1602" s="678"/>
      <c r="J1602" s="73">
        <v>68770.16</v>
      </c>
    </row>
    <row r="1603" spans="1:10" s="7" customFormat="1" ht="27" customHeight="1" outlineLevel="1" x14ac:dyDescent="0.25">
      <c r="A1603" s="865"/>
      <c r="B1603" s="247" t="s">
        <v>1123</v>
      </c>
      <c r="C1603" s="110" t="s">
        <v>37</v>
      </c>
      <c r="D1603" s="73"/>
      <c r="E1603" s="708"/>
      <c r="F1603" s="710"/>
      <c r="G1603" s="73">
        <v>88829.408800000005</v>
      </c>
      <c r="H1603" s="676"/>
      <c r="I1603" s="678"/>
      <c r="J1603" s="73">
        <v>88829.41</v>
      </c>
    </row>
    <row r="1604" spans="1:10" s="7" customFormat="1" ht="28.5" customHeight="1" outlineLevel="1" x14ac:dyDescent="0.25">
      <c r="A1604" s="865"/>
      <c r="B1604" s="247" t="s">
        <v>1124</v>
      </c>
      <c r="C1604" s="110" t="s">
        <v>37</v>
      </c>
      <c r="D1604" s="73"/>
      <c r="E1604" s="708"/>
      <c r="F1604" s="710"/>
      <c r="G1604" s="73">
        <v>89641.071799999991</v>
      </c>
      <c r="H1604" s="676"/>
      <c r="I1604" s="678"/>
      <c r="J1604" s="73">
        <v>89641.07</v>
      </c>
    </row>
    <row r="1605" spans="1:10" s="7" customFormat="1" ht="27.75" customHeight="1" outlineLevel="1" x14ac:dyDescent="0.25">
      <c r="A1605" s="735"/>
      <c r="B1605" s="247" t="s">
        <v>1125</v>
      </c>
      <c r="C1605" s="110" t="s">
        <v>37</v>
      </c>
      <c r="D1605" s="73"/>
      <c r="E1605" s="709"/>
      <c r="F1605" s="711"/>
      <c r="G1605" s="73">
        <v>85504.805999999997</v>
      </c>
      <c r="H1605" s="677"/>
      <c r="I1605" s="679"/>
      <c r="J1605" s="73">
        <v>85504.810000000012</v>
      </c>
    </row>
    <row r="1606" spans="1:10" ht="17.25" outlineLevel="1" thickBot="1" x14ac:dyDescent="0.3">
      <c r="A1606" s="796" t="s">
        <v>629</v>
      </c>
      <c r="B1606" s="797"/>
      <c r="C1606" s="286"/>
      <c r="D1606" s="287">
        <f>SUM(D1581,D1576,D1573,D1570,D1567,D1565,D1562,D1559,D1556,D1553,D1550,D1547,D1544,D1541,D1533,D1526,D1523,D1519,D1515,D1507,D1500,D1497,D1489,D1486,D1483,D1480,D1477,D1474,D1471,D1468,D1465,D1583,D1584)</f>
        <v>292182974.61199999</v>
      </c>
      <c r="E1606" s="286"/>
      <c r="F1606" s="286"/>
      <c r="G1606" s="287">
        <f>SUM(G1581,G1576,G1573,G1570,G1567,G1565,G1562,G1559,G1556,G1553,G1550,G1547,G1544,G1541,G1533,G1526,G1523,G1519,G1515,G1507,G1500,G1497,G1489,G1486,G1483,G1480,G1477,G1474,G1471,G1468,G1465,G1583,G1584)</f>
        <v>288681030.99020004</v>
      </c>
      <c r="H1606" s="286"/>
      <c r="I1606" s="289"/>
      <c r="J1606" s="287">
        <f>J1465+J1468+J1471+J1474+J1477+J1480+J1483+J1486+J1489+J1497+J1500+J1507+J1515+J1519+J1523+J1526+J1533+J1541+J1544+J1547+J1550+J1553+J1556+J1559+J1562+J1565+J1567+J1570+J1573+J1576+J1581+J1583+J1584</f>
        <v>253390349.76999998</v>
      </c>
    </row>
    <row r="1607" spans="1:10" s="4" customFormat="1" ht="27.75" customHeight="1" thickBot="1" x14ac:dyDescent="0.3">
      <c r="A1607" s="803" t="s">
        <v>648</v>
      </c>
      <c r="B1607" s="804"/>
      <c r="C1607" s="804"/>
      <c r="D1607" s="804"/>
      <c r="E1607" s="804"/>
      <c r="F1607" s="804"/>
      <c r="G1607" s="804"/>
      <c r="H1607" s="804"/>
      <c r="I1607" s="804"/>
      <c r="J1607" s="804"/>
    </row>
    <row r="1608" spans="1:10" s="4" customFormat="1" ht="33" x14ac:dyDescent="0.25">
      <c r="A1608" s="767">
        <v>1</v>
      </c>
      <c r="B1608" s="777" t="s">
        <v>336</v>
      </c>
      <c r="C1608" s="325" t="s">
        <v>501</v>
      </c>
      <c r="D1608" s="325">
        <v>27050000</v>
      </c>
      <c r="E1608" s="81" t="s">
        <v>1049</v>
      </c>
      <c r="F1608" s="81" t="s">
        <v>933</v>
      </c>
      <c r="G1608" s="327">
        <v>25751562.710000001</v>
      </c>
      <c r="H1608" s="83">
        <v>42906</v>
      </c>
      <c r="I1608" s="84"/>
      <c r="J1608" s="85"/>
    </row>
    <row r="1609" spans="1:10" ht="33" outlineLevel="1" x14ac:dyDescent="0.25">
      <c r="A1609" s="768"/>
      <c r="B1609" s="775"/>
      <c r="C1609" s="150" t="s">
        <v>37</v>
      </c>
      <c r="D1609" s="151">
        <v>90683.57</v>
      </c>
      <c r="E1609" s="155" t="s">
        <v>576</v>
      </c>
      <c r="F1609" s="152" t="s">
        <v>586</v>
      </c>
      <c r="G1609" s="153">
        <v>90683.57</v>
      </c>
      <c r="H1609" s="154">
        <v>42429</v>
      </c>
      <c r="I1609" s="154">
        <v>42593</v>
      </c>
      <c r="J1609" s="155">
        <v>90683.57</v>
      </c>
    </row>
    <row r="1610" spans="1:10" ht="17.25" outlineLevel="1" thickBot="1" x14ac:dyDescent="0.3">
      <c r="A1610" s="686" t="s">
        <v>628</v>
      </c>
      <c r="B1610" s="687"/>
      <c r="C1610" s="223"/>
      <c r="D1610" s="222">
        <f>SUM(D1608:D1609)</f>
        <v>27140683.57</v>
      </c>
      <c r="E1610" s="88"/>
      <c r="F1610" s="88"/>
      <c r="G1610" s="323">
        <f>SUM(G1608:G1609)</f>
        <v>25842246.280000001</v>
      </c>
      <c r="H1610" s="88"/>
      <c r="I1610" s="130"/>
      <c r="J1610" s="222">
        <f>SUM(J1608:J1609)</f>
        <v>90683.57</v>
      </c>
    </row>
    <row r="1611" spans="1:10" s="4" customFormat="1" ht="33" x14ac:dyDescent="0.25">
      <c r="A1611" s="767">
        <v>2</v>
      </c>
      <c r="B1611" s="777" t="s">
        <v>337</v>
      </c>
      <c r="C1611" s="325" t="s">
        <v>36</v>
      </c>
      <c r="D1611" s="325">
        <v>1042448.58</v>
      </c>
      <c r="E1611" s="81" t="s">
        <v>968</v>
      </c>
      <c r="F1611" s="81" t="s">
        <v>757</v>
      </c>
      <c r="G1611" s="327">
        <v>1042448.58</v>
      </c>
      <c r="H1611" s="83">
        <v>42605</v>
      </c>
      <c r="I1611" s="84"/>
      <c r="J1611" s="85"/>
    </row>
    <row r="1612" spans="1:10" ht="33" outlineLevel="1" x14ac:dyDescent="0.25">
      <c r="A1612" s="768"/>
      <c r="B1612" s="775"/>
      <c r="C1612" s="150" t="s">
        <v>37</v>
      </c>
      <c r="D1612" s="151">
        <v>63559.33</v>
      </c>
      <c r="E1612" s="155" t="s">
        <v>576</v>
      </c>
      <c r="F1612" s="152" t="s">
        <v>586</v>
      </c>
      <c r="G1612" s="153">
        <v>63559.33</v>
      </c>
      <c r="H1612" s="154">
        <v>42429</v>
      </c>
      <c r="I1612" s="154">
        <v>42593</v>
      </c>
      <c r="J1612" s="155">
        <v>63559.33</v>
      </c>
    </row>
    <row r="1613" spans="1:10" ht="17.25" outlineLevel="1" thickBot="1" x14ac:dyDescent="0.3">
      <c r="A1613" s="686" t="s">
        <v>628</v>
      </c>
      <c r="B1613" s="687"/>
      <c r="C1613" s="223"/>
      <c r="D1613" s="222">
        <f>SUM(D1611:D1612)</f>
        <v>1106007.9099999999</v>
      </c>
      <c r="E1613" s="88"/>
      <c r="F1613" s="88"/>
      <c r="G1613" s="323">
        <f>SUM(G1611:G1612)</f>
        <v>1106007.9099999999</v>
      </c>
      <c r="H1613" s="88"/>
      <c r="I1613" s="130"/>
      <c r="J1613" s="222">
        <f>SUM(J1611:J1612)</f>
        <v>63559.33</v>
      </c>
    </row>
    <row r="1614" spans="1:10" s="4" customFormat="1" ht="33" x14ac:dyDescent="0.25">
      <c r="A1614" s="767">
        <v>3</v>
      </c>
      <c r="B1614" s="777" t="s">
        <v>338</v>
      </c>
      <c r="C1614" s="48" t="s">
        <v>34</v>
      </c>
      <c r="D1614" s="48">
        <v>8623724.3800000008</v>
      </c>
      <c r="E1614" s="500" t="s">
        <v>968</v>
      </c>
      <c r="F1614" s="500" t="s">
        <v>757</v>
      </c>
      <c r="G1614" s="49">
        <v>8623724.3800000008</v>
      </c>
      <c r="H1614" s="505">
        <v>42605</v>
      </c>
      <c r="I1614" s="505">
        <v>42795</v>
      </c>
      <c r="J1614" s="51">
        <v>6703402</v>
      </c>
    </row>
    <row r="1615" spans="1:10" ht="33" outlineLevel="1" x14ac:dyDescent="0.25">
      <c r="A1615" s="768"/>
      <c r="B1615" s="775"/>
      <c r="C1615" s="73" t="s">
        <v>35</v>
      </c>
      <c r="D1615" s="73">
        <v>971176.58</v>
      </c>
      <c r="E1615" s="499" t="s">
        <v>968</v>
      </c>
      <c r="F1615" s="501" t="s">
        <v>757</v>
      </c>
      <c r="G1615" s="245">
        <v>971176.58</v>
      </c>
      <c r="H1615" s="504">
        <v>42605</v>
      </c>
      <c r="I1615" s="504">
        <v>42795</v>
      </c>
      <c r="J1615" s="499">
        <v>894847</v>
      </c>
    </row>
    <row r="1616" spans="1:10" ht="33" outlineLevel="1" x14ac:dyDescent="0.25">
      <c r="A1616" s="768"/>
      <c r="B1616" s="775"/>
      <c r="C1616" s="73" t="s">
        <v>36</v>
      </c>
      <c r="D1616" s="73">
        <v>1077101.6399999999</v>
      </c>
      <c r="E1616" s="499" t="s">
        <v>968</v>
      </c>
      <c r="F1616" s="501" t="s">
        <v>757</v>
      </c>
      <c r="G1616" s="74">
        <v>1077101.6399999999</v>
      </c>
      <c r="H1616" s="504">
        <v>42605</v>
      </c>
      <c r="I1616" s="502">
        <v>42795</v>
      </c>
      <c r="J1616" s="499">
        <v>624350</v>
      </c>
    </row>
    <row r="1617" spans="1:10" ht="33" outlineLevel="1" x14ac:dyDescent="0.25">
      <c r="A1617" s="768"/>
      <c r="B1617" s="775"/>
      <c r="C1617" s="141" t="s">
        <v>501</v>
      </c>
      <c r="D1617" s="141">
        <v>11920000</v>
      </c>
      <c r="E1617" s="57" t="s">
        <v>1050</v>
      </c>
      <c r="F1617" s="194" t="s">
        <v>933</v>
      </c>
      <c r="G1617" s="331">
        <v>10824346.039999999</v>
      </c>
      <c r="H1617" s="55">
        <v>42886</v>
      </c>
      <c r="I1617" s="56"/>
      <c r="J1617" s="57"/>
    </row>
    <row r="1618" spans="1:10" ht="16.5" outlineLevel="1" x14ac:dyDescent="0.25">
      <c r="A1618" s="768"/>
      <c r="B1618" s="775"/>
      <c r="C1618" s="141" t="s">
        <v>505</v>
      </c>
      <c r="D1618" s="141">
        <v>954954</v>
      </c>
      <c r="E1618" s="57"/>
      <c r="F1618" s="194"/>
      <c r="G1618" s="331"/>
      <c r="H1618" s="55">
        <v>42886</v>
      </c>
      <c r="I1618" s="56"/>
      <c r="J1618" s="57"/>
    </row>
    <row r="1619" spans="1:10" ht="33" outlineLevel="1" x14ac:dyDescent="0.25">
      <c r="A1619" s="768"/>
      <c r="B1619" s="775"/>
      <c r="C1619" s="150" t="s">
        <v>37</v>
      </c>
      <c r="D1619" s="151">
        <v>349078.16</v>
      </c>
      <c r="E1619" s="155" t="s">
        <v>576</v>
      </c>
      <c r="F1619" s="152" t="s">
        <v>586</v>
      </c>
      <c r="G1619" s="153">
        <v>349078.16</v>
      </c>
      <c r="H1619" s="154">
        <v>42429</v>
      </c>
      <c r="I1619" s="154">
        <v>42593</v>
      </c>
      <c r="J1619" s="155">
        <v>349078.16</v>
      </c>
    </row>
    <row r="1620" spans="1:10" ht="17.25" outlineLevel="1" thickBot="1" x14ac:dyDescent="0.3">
      <c r="A1620" s="686" t="s">
        <v>628</v>
      </c>
      <c r="B1620" s="687"/>
      <c r="C1620" s="223"/>
      <c r="D1620" s="222">
        <f>SUM(D1614:D1619)</f>
        <v>23896034.760000002</v>
      </c>
      <c r="E1620" s="88"/>
      <c r="F1620" s="88"/>
      <c r="G1620" s="323">
        <f>SUM(G1614:G1619)</f>
        <v>21845426.800000001</v>
      </c>
      <c r="H1620" s="88"/>
      <c r="I1620" s="130"/>
      <c r="J1620" s="222">
        <f>SUM(J1614:J1619)</f>
        <v>8571677.1600000001</v>
      </c>
    </row>
    <row r="1621" spans="1:10" s="4" customFormat="1" ht="33" x14ac:dyDescent="0.25">
      <c r="A1621" s="767">
        <v>4</v>
      </c>
      <c r="B1621" s="777" t="s">
        <v>578</v>
      </c>
      <c r="C1621" s="325" t="s">
        <v>36</v>
      </c>
      <c r="D1621" s="325">
        <v>1042448.58</v>
      </c>
      <c r="E1621" s="81" t="s">
        <v>968</v>
      </c>
      <c r="F1621" s="81" t="s">
        <v>757</v>
      </c>
      <c r="G1621" s="327">
        <v>1042448.58</v>
      </c>
      <c r="H1621" s="83">
        <v>42605</v>
      </c>
      <c r="I1621" s="84"/>
      <c r="J1621" s="85"/>
    </row>
    <row r="1622" spans="1:10" ht="33" outlineLevel="1" x14ac:dyDescent="0.25">
      <c r="A1622" s="768"/>
      <c r="B1622" s="775"/>
      <c r="C1622" s="150" t="s">
        <v>37</v>
      </c>
      <c r="D1622" s="151">
        <v>65958.59</v>
      </c>
      <c r="E1622" s="155" t="s">
        <v>576</v>
      </c>
      <c r="F1622" s="152" t="s">
        <v>586</v>
      </c>
      <c r="G1622" s="153">
        <v>65958.59</v>
      </c>
      <c r="H1622" s="154">
        <v>42429</v>
      </c>
      <c r="I1622" s="154">
        <v>42593</v>
      </c>
      <c r="J1622" s="155">
        <v>65958.59</v>
      </c>
    </row>
    <row r="1623" spans="1:10" ht="17.25" outlineLevel="1" thickBot="1" x14ac:dyDescent="0.3">
      <c r="A1623" s="724" t="s">
        <v>628</v>
      </c>
      <c r="B1623" s="725"/>
      <c r="C1623" s="272"/>
      <c r="D1623" s="222">
        <f>SUM(D1621:D1622)</f>
        <v>1108407.17</v>
      </c>
      <c r="E1623" s="90"/>
      <c r="F1623" s="90"/>
      <c r="G1623" s="323">
        <f>SUM(G1621:G1622)</f>
        <v>1108407.17</v>
      </c>
      <c r="H1623" s="90"/>
      <c r="I1623" s="108"/>
      <c r="J1623" s="222">
        <f>SUM(J1621:J1622)</f>
        <v>65958.59</v>
      </c>
    </row>
    <row r="1624" spans="1:10" s="4" customFormat="1" ht="33" x14ac:dyDescent="0.25">
      <c r="A1624" s="767">
        <v>5</v>
      </c>
      <c r="B1624" s="769" t="s">
        <v>352</v>
      </c>
      <c r="C1624" s="109" t="s">
        <v>500</v>
      </c>
      <c r="D1624" s="48">
        <v>3391078.1</v>
      </c>
      <c r="E1624" s="70" t="s">
        <v>854</v>
      </c>
      <c r="F1624" s="70" t="s">
        <v>855</v>
      </c>
      <c r="G1624" s="49">
        <v>3087819.88</v>
      </c>
      <c r="H1624" s="50">
        <v>42614</v>
      </c>
      <c r="I1624" s="50">
        <v>42628</v>
      </c>
      <c r="J1624" s="51">
        <v>3391078.1</v>
      </c>
    </row>
    <row r="1625" spans="1:10" ht="33" outlineLevel="1" x14ac:dyDescent="0.25">
      <c r="A1625" s="768"/>
      <c r="B1625" s="764"/>
      <c r="C1625" s="150" t="s">
        <v>37</v>
      </c>
      <c r="D1625" s="151">
        <v>100224.47</v>
      </c>
      <c r="E1625" s="155" t="s">
        <v>576</v>
      </c>
      <c r="F1625" s="152" t="s">
        <v>586</v>
      </c>
      <c r="G1625" s="153">
        <v>100224.47</v>
      </c>
      <c r="H1625" s="154">
        <v>42429</v>
      </c>
      <c r="I1625" s="154">
        <v>42593</v>
      </c>
      <c r="J1625" s="155">
        <v>100224.47</v>
      </c>
    </row>
    <row r="1626" spans="1:10" ht="17.25" outlineLevel="1" thickBot="1" x14ac:dyDescent="0.3">
      <c r="A1626" s="686" t="s">
        <v>628</v>
      </c>
      <c r="B1626" s="687"/>
      <c r="C1626" s="321"/>
      <c r="D1626" s="222">
        <f>SUM(D1624:D1625)</f>
        <v>3491302.5700000003</v>
      </c>
      <c r="E1626" s="88"/>
      <c r="F1626" s="88"/>
      <c r="G1626" s="323">
        <f>SUM(G1624:G1625)</f>
        <v>3188044.35</v>
      </c>
      <c r="H1626" s="88"/>
      <c r="I1626" s="130"/>
      <c r="J1626" s="222">
        <f>SUM(J1624:J1625)</f>
        <v>3491302.5700000003</v>
      </c>
    </row>
    <row r="1627" spans="1:10" s="4" customFormat="1" ht="33" x14ac:dyDescent="0.25">
      <c r="A1627" s="767">
        <v>6</v>
      </c>
      <c r="B1627" s="769" t="s">
        <v>353</v>
      </c>
      <c r="C1627" s="109" t="s">
        <v>500</v>
      </c>
      <c r="D1627" s="48">
        <v>3388354.66</v>
      </c>
      <c r="E1627" s="70" t="s">
        <v>856</v>
      </c>
      <c r="F1627" s="70" t="s">
        <v>855</v>
      </c>
      <c r="G1627" s="49">
        <v>3087819.88</v>
      </c>
      <c r="H1627" s="50">
        <v>42614</v>
      </c>
      <c r="I1627" s="50">
        <v>42628</v>
      </c>
      <c r="J1627" s="51">
        <v>3388354.66</v>
      </c>
    </row>
    <row r="1628" spans="1:10" ht="33" outlineLevel="1" x14ac:dyDescent="0.25">
      <c r="A1628" s="768"/>
      <c r="B1628" s="764"/>
      <c r="C1628" s="150" t="s">
        <v>37</v>
      </c>
      <c r="D1628" s="151">
        <v>100413.86</v>
      </c>
      <c r="E1628" s="155" t="s">
        <v>576</v>
      </c>
      <c r="F1628" s="152" t="s">
        <v>586</v>
      </c>
      <c r="G1628" s="153">
        <v>100413.86</v>
      </c>
      <c r="H1628" s="154">
        <v>42429</v>
      </c>
      <c r="I1628" s="154">
        <v>42593</v>
      </c>
      <c r="J1628" s="155">
        <v>100413.86</v>
      </c>
    </row>
    <row r="1629" spans="1:10" ht="17.25" outlineLevel="1" thickBot="1" x14ac:dyDescent="0.3">
      <c r="A1629" s="686" t="s">
        <v>628</v>
      </c>
      <c r="B1629" s="687"/>
      <c r="C1629" s="321"/>
      <c r="D1629" s="222">
        <f>SUM(D1627:D1628)</f>
        <v>3488768.52</v>
      </c>
      <c r="E1629" s="88"/>
      <c r="F1629" s="88"/>
      <c r="G1629" s="323">
        <f>SUM(G1627:G1628)</f>
        <v>3188233.7399999998</v>
      </c>
      <c r="H1629" s="88"/>
      <c r="I1629" s="130"/>
      <c r="J1629" s="222">
        <f>SUM(J1627:J1628)</f>
        <v>3488768.52</v>
      </c>
    </row>
    <row r="1630" spans="1:10" s="4" customFormat="1" ht="33" x14ac:dyDescent="0.25">
      <c r="A1630" s="767">
        <v>7</v>
      </c>
      <c r="B1630" s="769" t="s">
        <v>342</v>
      </c>
      <c r="C1630" s="109" t="s">
        <v>500</v>
      </c>
      <c r="D1630" s="48">
        <v>6452002.8200000003</v>
      </c>
      <c r="E1630" s="70" t="s">
        <v>934</v>
      </c>
      <c r="F1630" s="70" t="s">
        <v>933</v>
      </c>
      <c r="G1630" s="49">
        <v>7504653.6799999997</v>
      </c>
      <c r="H1630" s="50">
        <v>42639</v>
      </c>
      <c r="I1630" s="50">
        <v>42661</v>
      </c>
      <c r="J1630" s="51">
        <v>6452002.8200000003</v>
      </c>
    </row>
    <row r="1631" spans="1:10" s="4" customFormat="1" ht="33" outlineLevel="1" x14ac:dyDescent="0.25">
      <c r="A1631" s="768"/>
      <c r="B1631" s="764"/>
      <c r="C1631" s="150" t="s">
        <v>37</v>
      </c>
      <c r="D1631" s="151">
        <v>100088.85</v>
      </c>
      <c r="E1631" s="155" t="s">
        <v>576</v>
      </c>
      <c r="F1631" s="152" t="s">
        <v>586</v>
      </c>
      <c r="G1631" s="153">
        <v>100088.85</v>
      </c>
      <c r="H1631" s="154">
        <v>42429</v>
      </c>
      <c r="I1631" s="154">
        <v>42593</v>
      </c>
      <c r="J1631" s="155">
        <v>100088.85</v>
      </c>
    </row>
    <row r="1632" spans="1:10" ht="17.25" outlineLevel="1" thickBot="1" x14ac:dyDescent="0.3">
      <c r="A1632" s="724" t="s">
        <v>628</v>
      </c>
      <c r="B1632" s="725"/>
      <c r="C1632" s="284"/>
      <c r="D1632" s="222">
        <f>SUM(D1630:D1631)</f>
        <v>6552091.6699999999</v>
      </c>
      <c r="E1632" s="90"/>
      <c r="F1632" s="90"/>
      <c r="G1632" s="323">
        <f>SUM(G1630:G1631)</f>
        <v>7604742.5299999993</v>
      </c>
      <c r="H1632" s="90"/>
      <c r="I1632" s="108"/>
      <c r="J1632" s="222">
        <f>SUM(J1630:J1631)</f>
        <v>6552091.6699999999</v>
      </c>
    </row>
    <row r="1633" spans="1:10" s="4" customFormat="1" ht="33" x14ac:dyDescent="0.25">
      <c r="A1633" s="767">
        <v>8</v>
      </c>
      <c r="B1633" s="769" t="s">
        <v>343</v>
      </c>
      <c r="C1633" s="109" t="s">
        <v>500</v>
      </c>
      <c r="D1633" s="48">
        <v>6452002.8200000003</v>
      </c>
      <c r="E1633" s="70" t="s">
        <v>934</v>
      </c>
      <c r="F1633" s="70" t="s">
        <v>933</v>
      </c>
      <c r="G1633" s="49">
        <v>7504653.6799999997</v>
      </c>
      <c r="H1633" s="50">
        <v>42639</v>
      </c>
      <c r="I1633" s="50">
        <v>42661</v>
      </c>
      <c r="J1633" s="51">
        <v>6452002.8200000003</v>
      </c>
    </row>
    <row r="1634" spans="1:10" ht="33" outlineLevel="1" x14ac:dyDescent="0.25">
      <c r="A1634" s="768"/>
      <c r="B1634" s="764"/>
      <c r="C1634" s="150" t="s">
        <v>37</v>
      </c>
      <c r="D1634" s="151">
        <v>96514.59</v>
      </c>
      <c r="E1634" s="155" t="s">
        <v>576</v>
      </c>
      <c r="F1634" s="152" t="s">
        <v>586</v>
      </c>
      <c r="G1634" s="153">
        <v>96514.59</v>
      </c>
      <c r="H1634" s="154">
        <v>42429</v>
      </c>
      <c r="I1634" s="154">
        <v>42593</v>
      </c>
      <c r="J1634" s="155">
        <v>96514.59</v>
      </c>
    </row>
    <row r="1635" spans="1:10" ht="17.25" outlineLevel="1" thickBot="1" x14ac:dyDescent="0.3">
      <c r="A1635" s="686" t="s">
        <v>628</v>
      </c>
      <c r="B1635" s="687"/>
      <c r="C1635" s="321"/>
      <c r="D1635" s="222">
        <f>SUM(D1633:D1634)</f>
        <v>6548517.4100000001</v>
      </c>
      <c r="E1635" s="88"/>
      <c r="F1635" s="88"/>
      <c r="G1635" s="323">
        <f>SUM(G1633:G1634)</f>
        <v>7601168.2699999996</v>
      </c>
      <c r="H1635" s="88"/>
      <c r="I1635" s="130"/>
      <c r="J1635" s="222">
        <f>SUM(J1633:J1634)</f>
        <v>6548517.4100000001</v>
      </c>
    </row>
    <row r="1636" spans="1:10" ht="33" outlineLevel="1" x14ac:dyDescent="0.25">
      <c r="A1636" s="386"/>
      <c r="B1636" s="387" t="s">
        <v>579</v>
      </c>
      <c r="C1636" s="150" t="s">
        <v>37</v>
      </c>
      <c r="D1636" s="151">
        <v>37607.74</v>
      </c>
      <c r="E1636" s="155" t="s">
        <v>576</v>
      </c>
      <c r="F1636" s="152" t="s">
        <v>586</v>
      </c>
      <c r="G1636" s="153">
        <v>37607.74</v>
      </c>
      <c r="H1636" s="154">
        <v>42429</v>
      </c>
      <c r="I1636" s="154">
        <v>42593</v>
      </c>
      <c r="J1636" s="155">
        <v>37607.74</v>
      </c>
    </row>
    <row r="1637" spans="1:10" ht="17.25" outlineLevel="1" thickBot="1" x14ac:dyDescent="0.3">
      <c r="A1637" s="686" t="s">
        <v>628</v>
      </c>
      <c r="B1637" s="687"/>
      <c r="C1637" s="321"/>
      <c r="D1637" s="222">
        <f>SUM(D1636:D1636)</f>
        <v>37607.74</v>
      </c>
      <c r="E1637" s="88"/>
      <c r="F1637" s="88"/>
      <c r="G1637" s="323">
        <f>SUM(G1636:G1636)</f>
        <v>37607.74</v>
      </c>
      <c r="H1637" s="88"/>
      <c r="I1637" s="130"/>
      <c r="J1637" s="222">
        <f>SUM(J1636:J1636)</f>
        <v>37607.74</v>
      </c>
    </row>
    <row r="1638" spans="1:10" s="4" customFormat="1" ht="37.5" customHeight="1" x14ac:dyDescent="0.25">
      <c r="A1638" s="767">
        <v>10</v>
      </c>
      <c r="B1638" s="769" t="s">
        <v>580</v>
      </c>
      <c r="C1638" s="109" t="s">
        <v>500</v>
      </c>
      <c r="D1638" s="48">
        <v>8730694.9199999999</v>
      </c>
      <c r="E1638" s="70" t="s">
        <v>856</v>
      </c>
      <c r="F1638" s="70" t="s">
        <v>855</v>
      </c>
      <c r="G1638" s="49">
        <v>6774979.9699999997</v>
      </c>
      <c r="H1638" s="50">
        <v>42614</v>
      </c>
      <c r="I1638" s="50">
        <v>42670</v>
      </c>
      <c r="J1638" s="51">
        <v>8730694.9199999999</v>
      </c>
    </row>
    <row r="1639" spans="1:10" ht="33" outlineLevel="1" x14ac:dyDescent="0.25">
      <c r="A1639" s="768"/>
      <c r="B1639" s="764"/>
      <c r="C1639" s="150" t="s">
        <v>37</v>
      </c>
      <c r="D1639" s="151">
        <v>94407.679999999993</v>
      </c>
      <c r="E1639" s="155" t="s">
        <v>576</v>
      </c>
      <c r="F1639" s="152" t="s">
        <v>586</v>
      </c>
      <c r="G1639" s="153">
        <v>94407.679999999993</v>
      </c>
      <c r="H1639" s="154">
        <v>42429</v>
      </c>
      <c r="I1639" s="154">
        <v>42593</v>
      </c>
      <c r="J1639" s="155">
        <v>94407.679999999993</v>
      </c>
    </row>
    <row r="1640" spans="1:10" ht="17.25" outlineLevel="1" thickBot="1" x14ac:dyDescent="0.3">
      <c r="A1640" s="686" t="s">
        <v>628</v>
      </c>
      <c r="B1640" s="687"/>
      <c r="C1640" s="321"/>
      <c r="D1640" s="222">
        <f>SUM(D1638:D1639)</f>
        <v>8825102.5999999996</v>
      </c>
      <c r="E1640" s="88"/>
      <c r="F1640" s="88"/>
      <c r="G1640" s="323">
        <f>SUM(G1638:G1639)</f>
        <v>6869387.6499999994</v>
      </c>
      <c r="H1640" s="88"/>
      <c r="I1640" s="130"/>
      <c r="J1640" s="222">
        <f>SUM(J1638:J1639)</f>
        <v>8825102.5999999996</v>
      </c>
    </row>
    <row r="1641" spans="1:10" s="4" customFormat="1" ht="33" x14ac:dyDescent="0.25">
      <c r="A1641" s="767">
        <v>11</v>
      </c>
      <c r="B1641" s="769" t="s">
        <v>26</v>
      </c>
      <c r="C1641" s="324" t="s">
        <v>508</v>
      </c>
      <c r="D1641" s="325">
        <v>424750</v>
      </c>
      <c r="E1641" s="90" t="s">
        <v>1046</v>
      </c>
      <c r="F1641" s="81" t="s">
        <v>787</v>
      </c>
      <c r="G1641" s="327">
        <v>424750</v>
      </c>
      <c r="H1641" s="83">
        <v>42911</v>
      </c>
      <c r="I1641" s="84"/>
      <c r="J1641" s="85"/>
    </row>
    <row r="1642" spans="1:10" ht="33" outlineLevel="1" x14ac:dyDescent="0.25">
      <c r="A1642" s="768"/>
      <c r="B1642" s="764"/>
      <c r="C1642" s="150" t="s">
        <v>37</v>
      </c>
      <c r="D1642" s="151">
        <v>61521.48</v>
      </c>
      <c r="E1642" s="155" t="s">
        <v>576</v>
      </c>
      <c r="F1642" s="152" t="s">
        <v>586</v>
      </c>
      <c r="G1642" s="153">
        <v>61521.48</v>
      </c>
      <c r="H1642" s="154">
        <v>42429</v>
      </c>
      <c r="I1642" s="154"/>
      <c r="J1642" s="155"/>
    </row>
    <row r="1643" spans="1:10" ht="17.25" outlineLevel="1" thickBot="1" x14ac:dyDescent="0.3">
      <c r="A1643" s="724" t="s">
        <v>628</v>
      </c>
      <c r="B1643" s="725"/>
      <c r="C1643" s="284"/>
      <c r="D1643" s="222">
        <f>SUM(D1641:D1642)</f>
        <v>486271.48</v>
      </c>
      <c r="E1643" s="90"/>
      <c r="F1643" s="90"/>
      <c r="G1643" s="323">
        <f>SUM(G1641:G1642)</f>
        <v>486271.48</v>
      </c>
      <c r="H1643" s="90"/>
      <c r="I1643" s="108"/>
      <c r="J1643" s="125"/>
    </row>
    <row r="1644" spans="1:10" s="4" customFormat="1" ht="33" x14ac:dyDescent="0.25">
      <c r="A1644" s="767">
        <v>12</v>
      </c>
      <c r="B1644" s="769" t="s">
        <v>354</v>
      </c>
      <c r="C1644" s="109" t="s">
        <v>500</v>
      </c>
      <c r="D1644" s="48">
        <v>5152502.38</v>
      </c>
      <c r="E1644" s="510" t="s">
        <v>946</v>
      </c>
      <c r="F1644" s="510" t="s">
        <v>865</v>
      </c>
      <c r="G1644" s="49">
        <v>5152502.38</v>
      </c>
      <c r="H1644" s="509">
        <v>42617</v>
      </c>
      <c r="I1644" s="509">
        <v>42807</v>
      </c>
      <c r="J1644" s="51">
        <v>4514355.5</v>
      </c>
    </row>
    <row r="1645" spans="1:10" ht="33" outlineLevel="1" x14ac:dyDescent="0.25">
      <c r="A1645" s="768"/>
      <c r="B1645" s="764"/>
      <c r="C1645" s="150" t="s">
        <v>37</v>
      </c>
      <c r="D1645" s="151">
        <v>100653.58</v>
      </c>
      <c r="E1645" s="155" t="s">
        <v>576</v>
      </c>
      <c r="F1645" s="152" t="s">
        <v>586</v>
      </c>
      <c r="G1645" s="153">
        <v>100653.58</v>
      </c>
      <c r="H1645" s="154">
        <v>42429</v>
      </c>
      <c r="I1645" s="154">
        <v>42593</v>
      </c>
      <c r="J1645" s="155">
        <v>100653.58</v>
      </c>
    </row>
    <row r="1646" spans="1:10" ht="17.25" outlineLevel="1" thickBot="1" x14ac:dyDescent="0.3">
      <c r="A1646" s="686" t="s">
        <v>628</v>
      </c>
      <c r="B1646" s="687"/>
      <c r="C1646" s="321"/>
      <c r="D1646" s="222">
        <f>SUM(D1644:D1645)</f>
        <v>5253155.96</v>
      </c>
      <c r="E1646" s="88"/>
      <c r="F1646" s="88"/>
      <c r="G1646" s="323">
        <f>SUM(G1644:G1645)</f>
        <v>5253155.96</v>
      </c>
      <c r="H1646" s="88"/>
      <c r="I1646" s="130"/>
      <c r="J1646" s="222">
        <f>SUM(J1644:J1645)</f>
        <v>4615009.08</v>
      </c>
    </row>
    <row r="1647" spans="1:10" s="4" customFormat="1" ht="33" x14ac:dyDescent="0.25">
      <c r="A1647" s="767">
        <v>13</v>
      </c>
      <c r="B1647" s="777" t="s">
        <v>339</v>
      </c>
      <c r="C1647" s="325" t="s">
        <v>501</v>
      </c>
      <c r="D1647" s="325">
        <v>13980000</v>
      </c>
      <c r="E1647" s="57" t="s">
        <v>1050</v>
      </c>
      <c r="F1647" s="194" t="s">
        <v>933</v>
      </c>
      <c r="G1647" s="331">
        <v>12775649.630000001</v>
      </c>
      <c r="H1647" s="55">
        <v>42886</v>
      </c>
      <c r="I1647" s="84"/>
      <c r="J1647" s="85"/>
    </row>
    <row r="1648" spans="1:10" ht="33" outlineLevel="1" x14ac:dyDescent="0.25">
      <c r="A1648" s="768"/>
      <c r="B1648" s="775"/>
      <c r="C1648" s="150" t="s">
        <v>37</v>
      </c>
      <c r="D1648" s="151">
        <v>72342.75</v>
      </c>
      <c r="E1648" s="155" t="s">
        <v>576</v>
      </c>
      <c r="F1648" s="152" t="s">
        <v>586</v>
      </c>
      <c r="G1648" s="153">
        <v>72342.75</v>
      </c>
      <c r="H1648" s="154">
        <v>42429</v>
      </c>
      <c r="I1648" s="154">
        <v>42593</v>
      </c>
      <c r="J1648" s="155">
        <v>72342.75</v>
      </c>
    </row>
    <row r="1649" spans="1:10" ht="17.25" outlineLevel="1" thickBot="1" x14ac:dyDescent="0.3">
      <c r="A1649" s="724" t="s">
        <v>628</v>
      </c>
      <c r="B1649" s="725"/>
      <c r="C1649" s="284"/>
      <c r="D1649" s="222">
        <f>SUM(D1647:D1648)</f>
        <v>14052342.75</v>
      </c>
      <c r="E1649" s="90"/>
      <c r="F1649" s="90"/>
      <c r="G1649" s="323">
        <f>SUM(G1647:G1648)</f>
        <v>12847992.380000001</v>
      </c>
      <c r="H1649" s="90"/>
      <c r="I1649" s="108"/>
      <c r="J1649" s="222">
        <f>SUM(J1647:J1648)</f>
        <v>72342.75</v>
      </c>
    </row>
    <row r="1650" spans="1:10" s="4" customFormat="1" ht="32.25" customHeight="1" x14ac:dyDescent="0.25">
      <c r="A1650" s="767">
        <v>14</v>
      </c>
      <c r="B1650" s="769" t="s">
        <v>344</v>
      </c>
      <c r="C1650" s="109" t="s">
        <v>500</v>
      </c>
      <c r="D1650" s="48">
        <v>8149602.6600000001</v>
      </c>
      <c r="E1650" s="70" t="s">
        <v>864</v>
      </c>
      <c r="F1650" s="70" t="s">
        <v>755</v>
      </c>
      <c r="G1650" s="49">
        <v>8149602.6600000001</v>
      </c>
      <c r="H1650" s="50">
        <v>42622</v>
      </c>
      <c r="I1650" s="50">
        <v>42641</v>
      </c>
      <c r="J1650" s="51">
        <v>6414441.0599999996</v>
      </c>
    </row>
    <row r="1651" spans="1:10" ht="33" outlineLevel="1" x14ac:dyDescent="0.25">
      <c r="A1651" s="768"/>
      <c r="B1651" s="764"/>
      <c r="C1651" s="150" t="s">
        <v>37</v>
      </c>
      <c r="D1651" s="151">
        <v>100388.31</v>
      </c>
      <c r="E1651" s="155" t="s">
        <v>576</v>
      </c>
      <c r="F1651" s="152" t="s">
        <v>586</v>
      </c>
      <c r="G1651" s="153">
        <v>100388.31</v>
      </c>
      <c r="H1651" s="154">
        <v>42429</v>
      </c>
      <c r="I1651" s="154">
        <v>42593</v>
      </c>
      <c r="J1651" s="155">
        <v>100388.31</v>
      </c>
    </row>
    <row r="1652" spans="1:10" ht="17.25" outlineLevel="1" thickBot="1" x14ac:dyDescent="0.3">
      <c r="A1652" s="686" t="s">
        <v>628</v>
      </c>
      <c r="B1652" s="687"/>
      <c r="C1652" s="321"/>
      <c r="D1652" s="222">
        <f>SUM(D1650:D1651)</f>
        <v>8249990.9699999997</v>
      </c>
      <c r="E1652" s="88"/>
      <c r="F1652" s="88"/>
      <c r="G1652" s="323">
        <f>SUM(G1650:G1651)</f>
        <v>8249990.9699999997</v>
      </c>
      <c r="H1652" s="88"/>
      <c r="I1652" s="130"/>
      <c r="J1652" s="222">
        <f>SUM(J1650:J1651)</f>
        <v>6514829.3699999992</v>
      </c>
    </row>
    <row r="1653" spans="1:10" s="4" customFormat="1" ht="33.75" customHeight="1" x14ac:dyDescent="0.25">
      <c r="A1653" s="767">
        <v>15</v>
      </c>
      <c r="B1653" s="769" t="s">
        <v>355</v>
      </c>
      <c r="C1653" s="109" t="s">
        <v>500</v>
      </c>
      <c r="D1653" s="48">
        <v>7098698.6699999999</v>
      </c>
      <c r="E1653" s="70" t="s">
        <v>864</v>
      </c>
      <c r="F1653" s="70" t="s">
        <v>755</v>
      </c>
      <c r="G1653" s="49">
        <v>7098698.6699999999</v>
      </c>
      <c r="H1653" s="50">
        <v>42622</v>
      </c>
      <c r="I1653" s="50">
        <v>42641</v>
      </c>
      <c r="J1653" s="51">
        <v>5939730.5999999996</v>
      </c>
    </row>
    <row r="1654" spans="1:10" ht="33" outlineLevel="1" x14ac:dyDescent="0.25">
      <c r="A1654" s="768"/>
      <c r="B1654" s="764"/>
      <c r="C1654" s="150" t="s">
        <v>37</v>
      </c>
      <c r="D1654" s="151">
        <v>99260.37</v>
      </c>
      <c r="E1654" s="155" t="s">
        <v>576</v>
      </c>
      <c r="F1654" s="152" t="s">
        <v>586</v>
      </c>
      <c r="G1654" s="153">
        <v>99260.37</v>
      </c>
      <c r="H1654" s="154">
        <v>42429</v>
      </c>
      <c r="I1654" s="154">
        <v>42593</v>
      </c>
      <c r="J1654" s="155">
        <v>99260.37</v>
      </c>
    </row>
    <row r="1655" spans="1:10" ht="17.25" outlineLevel="1" thickBot="1" x14ac:dyDescent="0.3">
      <c r="A1655" s="686" t="s">
        <v>628</v>
      </c>
      <c r="B1655" s="687"/>
      <c r="C1655" s="321"/>
      <c r="D1655" s="222">
        <f>SUM(D1653:D1654)</f>
        <v>7197959.04</v>
      </c>
      <c r="E1655" s="88"/>
      <c r="F1655" s="88"/>
      <c r="G1655" s="323">
        <f>SUM(G1653:G1654)</f>
        <v>7197959.04</v>
      </c>
      <c r="H1655" s="88"/>
      <c r="I1655" s="130"/>
      <c r="J1655" s="222">
        <f>SUM(J1653:J1654)</f>
        <v>6038990.9699999997</v>
      </c>
    </row>
    <row r="1656" spans="1:10" s="4" customFormat="1" ht="33" x14ac:dyDescent="0.25">
      <c r="A1656" s="767">
        <v>16</v>
      </c>
      <c r="B1656" s="769" t="s">
        <v>27</v>
      </c>
      <c r="C1656" s="324" t="s">
        <v>508</v>
      </c>
      <c r="D1656" s="325">
        <v>424750</v>
      </c>
      <c r="E1656" s="81" t="s">
        <v>1046</v>
      </c>
      <c r="F1656" s="81" t="s">
        <v>787</v>
      </c>
      <c r="G1656" s="327">
        <v>424750</v>
      </c>
      <c r="H1656" s="83">
        <v>42911</v>
      </c>
      <c r="I1656" s="84"/>
      <c r="J1656" s="85"/>
    </row>
    <row r="1657" spans="1:10" ht="33" outlineLevel="1" x14ac:dyDescent="0.25">
      <c r="A1657" s="768"/>
      <c r="B1657" s="764"/>
      <c r="C1657" s="150" t="s">
        <v>37</v>
      </c>
      <c r="D1657" s="151">
        <v>51267.91</v>
      </c>
      <c r="E1657" s="155" t="s">
        <v>576</v>
      </c>
      <c r="F1657" s="152" t="s">
        <v>586</v>
      </c>
      <c r="G1657" s="153">
        <v>51267.91</v>
      </c>
      <c r="H1657" s="154">
        <v>42429</v>
      </c>
      <c r="I1657" s="154"/>
      <c r="J1657" s="155"/>
    </row>
    <row r="1658" spans="1:10" ht="17.25" outlineLevel="1" thickBot="1" x14ac:dyDescent="0.3">
      <c r="A1658" s="686" t="s">
        <v>628</v>
      </c>
      <c r="B1658" s="687"/>
      <c r="C1658" s="321"/>
      <c r="D1658" s="222">
        <f>SUM(D1656:D1657)</f>
        <v>476017.91000000003</v>
      </c>
      <c r="E1658" s="88"/>
      <c r="F1658" s="88"/>
      <c r="G1658" s="323">
        <f>SUM(G1656:G1657)</f>
        <v>476017.91000000003</v>
      </c>
      <c r="H1658" s="88"/>
      <c r="I1658" s="130"/>
      <c r="J1658" s="310"/>
    </row>
    <row r="1659" spans="1:10" s="4" customFormat="1" ht="33" x14ac:dyDescent="0.25">
      <c r="A1659" s="767">
        <v>17</v>
      </c>
      <c r="B1659" s="769" t="s">
        <v>28</v>
      </c>
      <c r="C1659" s="324" t="s">
        <v>508</v>
      </c>
      <c r="D1659" s="325">
        <v>424750</v>
      </c>
      <c r="E1659" s="81" t="s">
        <v>1046</v>
      </c>
      <c r="F1659" s="81" t="s">
        <v>787</v>
      </c>
      <c r="G1659" s="327">
        <v>424750</v>
      </c>
      <c r="H1659" s="83">
        <v>42911</v>
      </c>
      <c r="I1659" s="84"/>
      <c r="J1659" s="85"/>
    </row>
    <row r="1660" spans="1:10" ht="33" outlineLevel="1" x14ac:dyDescent="0.25">
      <c r="A1660" s="768"/>
      <c r="B1660" s="764"/>
      <c r="C1660" s="150" t="s">
        <v>37</v>
      </c>
      <c r="D1660" s="151">
        <v>51943.1</v>
      </c>
      <c r="E1660" s="155" t="s">
        <v>576</v>
      </c>
      <c r="F1660" s="152" t="s">
        <v>586</v>
      </c>
      <c r="G1660" s="153">
        <v>51943.1</v>
      </c>
      <c r="H1660" s="154">
        <v>42429</v>
      </c>
      <c r="I1660" s="154"/>
      <c r="J1660" s="155"/>
    </row>
    <row r="1661" spans="1:10" ht="17.25" outlineLevel="1" thickBot="1" x14ac:dyDescent="0.3">
      <c r="A1661" s="724" t="s">
        <v>628</v>
      </c>
      <c r="B1661" s="725"/>
      <c r="C1661" s="284"/>
      <c r="D1661" s="222">
        <f>SUM(D1659:D1660)</f>
        <v>476693.1</v>
      </c>
      <c r="E1661" s="90"/>
      <c r="F1661" s="90"/>
      <c r="G1661" s="323">
        <f>SUM(G1659:G1660)</f>
        <v>476693.1</v>
      </c>
      <c r="H1661" s="90"/>
      <c r="I1661" s="108"/>
      <c r="J1661" s="125"/>
    </row>
    <row r="1662" spans="1:10" s="4" customFormat="1" ht="33" x14ac:dyDescent="0.25">
      <c r="A1662" s="767">
        <v>18</v>
      </c>
      <c r="B1662" s="769" t="s">
        <v>29</v>
      </c>
      <c r="C1662" s="324" t="s">
        <v>508</v>
      </c>
      <c r="D1662" s="325">
        <v>424750</v>
      </c>
      <c r="E1662" s="81" t="s">
        <v>1046</v>
      </c>
      <c r="F1662" s="81" t="s">
        <v>787</v>
      </c>
      <c r="G1662" s="327">
        <v>424750</v>
      </c>
      <c r="H1662" s="83">
        <v>42911</v>
      </c>
      <c r="I1662" s="84"/>
      <c r="J1662" s="85"/>
    </row>
    <row r="1663" spans="1:10" ht="33" outlineLevel="1" x14ac:dyDescent="0.25">
      <c r="A1663" s="768"/>
      <c r="B1663" s="764"/>
      <c r="C1663" s="150" t="s">
        <v>37</v>
      </c>
      <c r="D1663" s="151">
        <v>51267.91</v>
      </c>
      <c r="E1663" s="155" t="s">
        <v>576</v>
      </c>
      <c r="F1663" s="152" t="s">
        <v>586</v>
      </c>
      <c r="G1663" s="153">
        <v>51267.91</v>
      </c>
      <c r="H1663" s="154">
        <v>42429</v>
      </c>
      <c r="I1663" s="154"/>
      <c r="J1663" s="155"/>
    </row>
    <row r="1664" spans="1:10" ht="17.25" outlineLevel="1" thickBot="1" x14ac:dyDescent="0.3">
      <c r="A1664" s="686" t="s">
        <v>628</v>
      </c>
      <c r="B1664" s="687"/>
      <c r="C1664" s="321"/>
      <c r="D1664" s="222">
        <f>SUM(D1662:D1663)</f>
        <v>476017.91000000003</v>
      </c>
      <c r="E1664" s="88"/>
      <c r="F1664" s="88"/>
      <c r="G1664" s="323">
        <f>SUM(G1662:G1663)</f>
        <v>476017.91000000003</v>
      </c>
      <c r="H1664" s="88"/>
      <c r="I1664" s="130"/>
      <c r="J1664" s="310"/>
    </row>
    <row r="1665" spans="1:10" s="4" customFormat="1" ht="33" x14ac:dyDescent="0.25">
      <c r="A1665" s="767">
        <v>19</v>
      </c>
      <c r="B1665" s="769" t="s">
        <v>345</v>
      </c>
      <c r="C1665" s="109" t="s">
        <v>500</v>
      </c>
      <c r="D1665" s="48">
        <v>6260776.7400000002</v>
      </c>
      <c r="E1665" s="70" t="s">
        <v>856</v>
      </c>
      <c r="F1665" s="70" t="s">
        <v>855</v>
      </c>
      <c r="G1665" s="49">
        <v>8616460.0899999999</v>
      </c>
      <c r="H1665" s="50">
        <v>42614</v>
      </c>
      <c r="I1665" s="50">
        <v>42670</v>
      </c>
      <c r="J1665" s="51">
        <v>6260776.7400000002</v>
      </c>
    </row>
    <row r="1666" spans="1:10" ht="33" outlineLevel="1" x14ac:dyDescent="0.25">
      <c r="A1666" s="768"/>
      <c r="B1666" s="764"/>
      <c r="C1666" s="150" t="s">
        <v>37</v>
      </c>
      <c r="D1666" s="151">
        <v>96588.26</v>
      </c>
      <c r="E1666" s="155" t="s">
        <v>576</v>
      </c>
      <c r="F1666" s="152" t="s">
        <v>586</v>
      </c>
      <c r="G1666" s="153">
        <v>96588.26</v>
      </c>
      <c r="H1666" s="154">
        <v>42429</v>
      </c>
      <c r="I1666" s="154">
        <v>42593</v>
      </c>
      <c r="J1666" s="155">
        <v>96588.26</v>
      </c>
    </row>
    <row r="1667" spans="1:10" ht="17.25" outlineLevel="1" thickBot="1" x14ac:dyDescent="0.3">
      <c r="A1667" s="686" t="s">
        <v>628</v>
      </c>
      <c r="B1667" s="687"/>
      <c r="C1667" s="321"/>
      <c r="D1667" s="222">
        <f>SUM(D1665:D1666)</f>
        <v>6357365</v>
      </c>
      <c r="E1667" s="88"/>
      <c r="F1667" s="88"/>
      <c r="G1667" s="323">
        <f>SUM(G1665:G1666)</f>
        <v>8713048.3499999996</v>
      </c>
      <c r="H1667" s="88"/>
      <c r="I1667" s="130"/>
      <c r="J1667" s="222">
        <f>SUM(J1665:J1666)</f>
        <v>6357365</v>
      </c>
    </row>
    <row r="1668" spans="1:10" s="4" customFormat="1" ht="33" x14ac:dyDescent="0.25">
      <c r="A1668" s="767">
        <v>20</v>
      </c>
      <c r="B1668" s="769" t="s">
        <v>581</v>
      </c>
      <c r="C1668" s="109" t="s">
        <v>500</v>
      </c>
      <c r="D1668" s="48">
        <v>6243761.1399999997</v>
      </c>
      <c r="E1668" s="70" t="s">
        <v>856</v>
      </c>
      <c r="F1668" s="70" t="s">
        <v>855</v>
      </c>
      <c r="G1668" s="49">
        <v>8616460.0899999999</v>
      </c>
      <c r="H1668" s="50">
        <v>42614</v>
      </c>
      <c r="I1668" s="50">
        <v>42628</v>
      </c>
      <c r="J1668" s="219">
        <v>6243761.1399999997</v>
      </c>
    </row>
    <row r="1669" spans="1:10" ht="33" outlineLevel="1" x14ac:dyDescent="0.25">
      <c r="A1669" s="768"/>
      <c r="B1669" s="764"/>
      <c r="C1669" s="150" t="s">
        <v>37</v>
      </c>
      <c r="D1669" s="151">
        <v>97528.94</v>
      </c>
      <c r="E1669" s="155" t="s">
        <v>576</v>
      </c>
      <c r="F1669" s="152" t="s">
        <v>586</v>
      </c>
      <c r="G1669" s="153">
        <v>97528.94</v>
      </c>
      <c r="H1669" s="154">
        <v>42429</v>
      </c>
      <c r="I1669" s="154">
        <v>42593</v>
      </c>
      <c r="J1669" s="155">
        <v>97528.94</v>
      </c>
    </row>
    <row r="1670" spans="1:10" ht="17.25" outlineLevel="1" thickBot="1" x14ac:dyDescent="0.3">
      <c r="A1670" s="724" t="s">
        <v>628</v>
      </c>
      <c r="B1670" s="725"/>
      <c r="C1670" s="284"/>
      <c r="D1670" s="222">
        <f>SUM(D1668:D1669)</f>
        <v>6341290.0800000001</v>
      </c>
      <c r="E1670" s="90"/>
      <c r="F1670" s="90"/>
      <c r="G1670" s="323">
        <f>SUM(G1668:G1669)</f>
        <v>8713989.0299999993</v>
      </c>
      <c r="H1670" s="90"/>
      <c r="I1670" s="108"/>
      <c r="J1670" s="222">
        <f>SUM(J1668:J1669)</f>
        <v>6341290.0800000001</v>
      </c>
    </row>
    <row r="1671" spans="1:10" s="4" customFormat="1" ht="33" x14ac:dyDescent="0.25">
      <c r="A1671" s="767">
        <v>21</v>
      </c>
      <c r="B1671" s="769" t="s">
        <v>582</v>
      </c>
      <c r="C1671" s="109" t="s">
        <v>34</v>
      </c>
      <c r="D1671" s="48">
        <v>11897420.800000001</v>
      </c>
      <c r="E1671" s="70" t="s">
        <v>965</v>
      </c>
      <c r="F1671" s="70" t="s">
        <v>757</v>
      </c>
      <c r="G1671" s="49">
        <v>11897420.800000001</v>
      </c>
      <c r="H1671" s="50">
        <v>42795</v>
      </c>
      <c r="I1671" s="50">
        <v>42732</v>
      </c>
      <c r="J1671" s="51">
        <v>8463877.6500000004</v>
      </c>
    </row>
    <row r="1672" spans="1:10" s="27" customFormat="1" ht="33" x14ac:dyDescent="0.25">
      <c r="A1672" s="776"/>
      <c r="B1672" s="799"/>
      <c r="C1672" s="388" t="s">
        <v>35</v>
      </c>
      <c r="D1672" s="268">
        <v>851274.42</v>
      </c>
      <c r="E1672" s="57" t="s">
        <v>1026</v>
      </c>
      <c r="F1672" s="194" t="s">
        <v>755</v>
      </c>
      <c r="G1672" s="389"/>
      <c r="H1672" s="58">
        <v>42795</v>
      </c>
      <c r="I1672" s="250"/>
      <c r="J1672" s="251"/>
    </row>
    <row r="1673" spans="1:10" ht="33" outlineLevel="1" x14ac:dyDescent="0.25">
      <c r="A1673" s="768"/>
      <c r="B1673" s="764"/>
      <c r="C1673" s="110" t="s">
        <v>36</v>
      </c>
      <c r="D1673" s="73">
        <v>882251.64</v>
      </c>
      <c r="E1673" s="52" t="s">
        <v>1026</v>
      </c>
      <c r="F1673" s="91" t="s">
        <v>755</v>
      </c>
      <c r="G1673" s="74">
        <v>882251.64</v>
      </c>
      <c r="H1673" s="75">
        <v>42598</v>
      </c>
      <c r="I1673" s="75">
        <v>42641</v>
      </c>
      <c r="J1673" s="52">
        <v>1204848.44</v>
      </c>
    </row>
    <row r="1674" spans="1:10" ht="33" outlineLevel="1" x14ac:dyDescent="0.25">
      <c r="A1674" s="768"/>
      <c r="B1674" s="764"/>
      <c r="C1674" s="150" t="s">
        <v>37</v>
      </c>
      <c r="D1674" s="151">
        <v>110086.11</v>
      </c>
      <c r="E1674" s="155" t="s">
        <v>576</v>
      </c>
      <c r="F1674" s="152" t="s">
        <v>586</v>
      </c>
      <c r="G1674" s="153">
        <v>110086.11</v>
      </c>
      <c r="H1674" s="154">
        <v>42429</v>
      </c>
      <c r="I1674" s="154">
        <v>42593</v>
      </c>
      <c r="J1674" s="155">
        <v>110086.11</v>
      </c>
    </row>
    <row r="1675" spans="1:10" ht="17.25" outlineLevel="1" thickBot="1" x14ac:dyDescent="0.3">
      <c r="A1675" s="686" t="s">
        <v>628</v>
      </c>
      <c r="B1675" s="687"/>
      <c r="C1675" s="321"/>
      <c r="D1675" s="222">
        <f>SUM(D1671:D1674)</f>
        <v>13741032.970000001</v>
      </c>
      <c r="E1675" s="88"/>
      <c r="F1675" s="88"/>
      <c r="G1675" s="323">
        <f>SUM(G1671:G1674)</f>
        <v>12889758.550000001</v>
      </c>
      <c r="H1675" s="88"/>
      <c r="I1675" s="130"/>
      <c r="J1675" s="222">
        <f>SUM(J1671:J1674)</f>
        <v>9778812.1999999993</v>
      </c>
    </row>
    <row r="1676" spans="1:10" s="4" customFormat="1" ht="33" x14ac:dyDescent="0.25">
      <c r="A1676" s="767">
        <v>22</v>
      </c>
      <c r="B1676" s="769" t="s">
        <v>346</v>
      </c>
      <c r="C1676" s="109" t="s">
        <v>500</v>
      </c>
      <c r="D1676" s="48">
        <v>6762753.46</v>
      </c>
      <c r="E1676" s="70" t="s">
        <v>856</v>
      </c>
      <c r="F1676" s="70" t="s">
        <v>855</v>
      </c>
      <c r="G1676" s="49">
        <v>8616460.0899999999</v>
      </c>
      <c r="H1676" s="50">
        <v>42614</v>
      </c>
      <c r="I1676" s="50">
        <v>42664</v>
      </c>
      <c r="J1676" s="51">
        <v>6762753.46</v>
      </c>
    </row>
    <row r="1677" spans="1:10" ht="33" outlineLevel="1" x14ac:dyDescent="0.25">
      <c r="A1677" s="768"/>
      <c r="B1677" s="764"/>
      <c r="C1677" s="150" t="s">
        <v>37</v>
      </c>
      <c r="D1677" s="151">
        <v>72266.69</v>
      </c>
      <c r="E1677" s="155" t="s">
        <v>576</v>
      </c>
      <c r="F1677" s="152" t="s">
        <v>586</v>
      </c>
      <c r="G1677" s="153">
        <v>72266.69</v>
      </c>
      <c r="H1677" s="154">
        <v>42429</v>
      </c>
      <c r="I1677" s="154">
        <v>42593</v>
      </c>
      <c r="J1677" s="155">
        <v>72266.69</v>
      </c>
    </row>
    <row r="1678" spans="1:10" ht="17.25" outlineLevel="1" thickBot="1" x14ac:dyDescent="0.3">
      <c r="A1678" s="686" t="s">
        <v>628</v>
      </c>
      <c r="B1678" s="687"/>
      <c r="C1678" s="321"/>
      <c r="D1678" s="222">
        <f>SUM(D1676:D1677)</f>
        <v>6835020.1500000004</v>
      </c>
      <c r="E1678" s="88"/>
      <c r="F1678" s="88"/>
      <c r="G1678" s="323">
        <f>SUM(G1676:G1677)</f>
        <v>8688726.7799999993</v>
      </c>
      <c r="H1678" s="88"/>
      <c r="I1678" s="130"/>
      <c r="J1678" s="222">
        <f>SUM(J1676:J1677)</f>
        <v>6835020.1500000004</v>
      </c>
    </row>
    <row r="1679" spans="1:10" s="4" customFormat="1" ht="33" x14ac:dyDescent="0.25">
      <c r="A1679" s="767">
        <v>23</v>
      </c>
      <c r="B1679" s="769" t="s">
        <v>347</v>
      </c>
      <c r="C1679" s="109" t="s">
        <v>500</v>
      </c>
      <c r="D1679" s="48">
        <v>11444832.539999999</v>
      </c>
      <c r="E1679" s="70" t="s">
        <v>946</v>
      </c>
      <c r="F1679" s="70" t="s">
        <v>755</v>
      </c>
      <c r="G1679" s="49">
        <v>11444832.539999999</v>
      </c>
      <c r="H1679" s="50">
        <v>42617</v>
      </c>
      <c r="I1679" s="50">
        <v>42641</v>
      </c>
      <c r="J1679" s="51">
        <v>8546454.4399999995</v>
      </c>
    </row>
    <row r="1680" spans="1:10" ht="33" outlineLevel="1" x14ac:dyDescent="0.25">
      <c r="A1680" s="768"/>
      <c r="B1680" s="764"/>
      <c r="C1680" s="150" t="s">
        <v>37</v>
      </c>
      <c r="D1680" s="151">
        <v>99635.72</v>
      </c>
      <c r="E1680" s="155" t="s">
        <v>576</v>
      </c>
      <c r="F1680" s="152" t="s">
        <v>586</v>
      </c>
      <c r="G1680" s="153">
        <v>99635.72</v>
      </c>
      <c r="H1680" s="154">
        <v>42429</v>
      </c>
      <c r="I1680" s="154">
        <v>42593</v>
      </c>
      <c r="J1680" s="155">
        <v>99635.72</v>
      </c>
    </row>
    <row r="1681" spans="1:10" ht="17.25" outlineLevel="1" thickBot="1" x14ac:dyDescent="0.3">
      <c r="A1681" s="724" t="s">
        <v>628</v>
      </c>
      <c r="B1681" s="725"/>
      <c r="C1681" s="284"/>
      <c r="D1681" s="222">
        <f>SUM(D1679:D1680)</f>
        <v>11544468.26</v>
      </c>
      <c r="E1681" s="90"/>
      <c r="F1681" s="90"/>
      <c r="G1681" s="323">
        <f>SUM(G1679:G1680)</f>
        <v>11544468.26</v>
      </c>
      <c r="H1681" s="90"/>
      <c r="I1681" s="108"/>
      <c r="J1681" s="222">
        <f>SUM(J1679:J1680)</f>
        <v>8646090.1600000001</v>
      </c>
    </row>
    <row r="1682" spans="1:10" s="22" customFormat="1" ht="33" x14ac:dyDescent="0.25">
      <c r="A1682" s="767">
        <v>24</v>
      </c>
      <c r="B1682" s="769" t="s">
        <v>583</v>
      </c>
      <c r="C1682" s="109" t="s">
        <v>34</v>
      </c>
      <c r="D1682" s="73">
        <v>14721403.880000001</v>
      </c>
      <c r="E1682" s="70" t="s">
        <v>965</v>
      </c>
      <c r="F1682" s="70" t="s">
        <v>757</v>
      </c>
      <c r="G1682" s="49">
        <v>14721430.880000001</v>
      </c>
      <c r="H1682" s="50">
        <v>42795</v>
      </c>
      <c r="I1682" s="50">
        <v>42731</v>
      </c>
      <c r="J1682" s="51">
        <v>11123439.1</v>
      </c>
    </row>
    <row r="1683" spans="1:10" ht="33" outlineLevel="1" x14ac:dyDescent="0.25">
      <c r="A1683" s="768"/>
      <c r="B1683" s="764"/>
      <c r="C1683" s="110" t="s">
        <v>35</v>
      </c>
      <c r="D1683" s="73">
        <v>1148982.52</v>
      </c>
      <c r="E1683" s="52" t="s">
        <v>1026</v>
      </c>
      <c r="F1683" s="91" t="s">
        <v>755</v>
      </c>
      <c r="G1683" s="129">
        <v>1654607.35</v>
      </c>
      <c r="H1683" s="75">
        <v>42598</v>
      </c>
      <c r="I1683" s="75">
        <v>42655</v>
      </c>
      <c r="J1683" s="52">
        <v>1148982.52</v>
      </c>
    </row>
    <row r="1684" spans="1:10" ht="33" outlineLevel="1" x14ac:dyDescent="0.25">
      <c r="A1684" s="768"/>
      <c r="B1684" s="764"/>
      <c r="C1684" s="110" t="s">
        <v>36</v>
      </c>
      <c r="D1684" s="73">
        <v>1424172.68</v>
      </c>
      <c r="E1684" s="52" t="s">
        <v>1026</v>
      </c>
      <c r="F1684" s="91" t="s">
        <v>755</v>
      </c>
      <c r="G1684" s="52">
        <v>1654608.35</v>
      </c>
      <c r="H1684" s="75">
        <v>42598</v>
      </c>
      <c r="I1684" s="75">
        <v>42655</v>
      </c>
      <c r="J1684" s="52">
        <v>1424172.68</v>
      </c>
    </row>
    <row r="1685" spans="1:10" ht="33" outlineLevel="1" x14ac:dyDescent="0.25">
      <c r="A1685" s="768"/>
      <c r="B1685" s="764"/>
      <c r="C1685" s="150" t="s">
        <v>37</v>
      </c>
      <c r="D1685" s="151">
        <v>99822.19</v>
      </c>
      <c r="E1685" s="155" t="s">
        <v>576</v>
      </c>
      <c r="F1685" s="152" t="s">
        <v>586</v>
      </c>
      <c r="G1685" s="153">
        <v>99822.19</v>
      </c>
      <c r="H1685" s="154">
        <v>42429</v>
      </c>
      <c r="I1685" s="154">
        <v>42593</v>
      </c>
      <c r="J1685" s="155">
        <v>99822.19</v>
      </c>
    </row>
    <row r="1686" spans="1:10" ht="17.25" outlineLevel="1" thickBot="1" x14ac:dyDescent="0.3">
      <c r="A1686" s="686" t="s">
        <v>628</v>
      </c>
      <c r="B1686" s="687"/>
      <c r="C1686" s="321"/>
      <c r="D1686" s="222">
        <f>SUM(D1682:D1685)</f>
        <v>17394381.270000003</v>
      </c>
      <c r="E1686" s="88"/>
      <c r="F1686" s="88"/>
      <c r="G1686" s="323">
        <f>SUM(G1682:G1685)</f>
        <v>18130468.770000003</v>
      </c>
      <c r="H1686" s="88"/>
      <c r="I1686" s="130"/>
      <c r="J1686" s="222">
        <f>SUM(J1682:J1685)</f>
        <v>13796416.489999998</v>
      </c>
    </row>
    <row r="1687" spans="1:10" s="4" customFormat="1" ht="33" x14ac:dyDescent="0.25">
      <c r="A1687" s="767">
        <v>25</v>
      </c>
      <c r="B1687" s="769" t="s">
        <v>348</v>
      </c>
      <c r="C1687" s="109" t="s">
        <v>500</v>
      </c>
      <c r="D1687" s="48">
        <v>11444832.539999999</v>
      </c>
      <c r="E1687" s="70" t="s">
        <v>946</v>
      </c>
      <c r="F1687" s="70" t="s">
        <v>755</v>
      </c>
      <c r="G1687" s="49">
        <v>11444832.539999999</v>
      </c>
      <c r="H1687" s="50">
        <v>42617</v>
      </c>
      <c r="I1687" s="50">
        <v>42641</v>
      </c>
      <c r="J1687" s="51">
        <v>8605553.5600000005</v>
      </c>
    </row>
    <row r="1688" spans="1:10" ht="33" outlineLevel="1" x14ac:dyDescent="0.25">
      <c r="A1688" s="768"/>
      <c r="B1688" s="764"/>
      <c r="C1688" s="150" t="s">
        <v>37</v>
      </c>
      <c r="D1688" s="151">
        <v>99240.68</v>
      </c>
      <c r="E1688" s="155" t="s">
        <v>576</v>
      </c>
      <c r="F1688" s="152" t="s">
        <v>586</v>
      </c>
      <c r="G1688" s="153">
        <v>99240.68</v>
      </c>
      <c r="H1688" s="154">
        <v>42429</v>
      </c>
      <c r="I1688" s="154">
        <v>42593</v>
      </c>
      <c r="J1688" s="155">
        <v>99240.68</v>
      </c>
    </row>
    <row r="1689" spans="1:10" ht="17.25" outlineLevel="1" thickBot="1" x14ac:dyDescent="0.3">
      <c r="A1689" s="686" t="s">
        <v>628</v>
      </c>
      <c r="B1689" s="687"/>
      <c r="C1689" s="321"/>
      <c r="D1689" s="222">
        <f>SUM(D1687:D1688)</f>
        <v>11544073.219999999</v>
      </c>
      <c r="E1689" s="88"/>
      <c r="F1689" s="88"/>
      <c r="G1689" s="323">
        <f>SUM(G1687:G1688)</f>
        <v>11544073.219999999</v>
      </c>
      <c r="H1689" s="88"/>
      <c r="I1689" s="130"/>
      <c r="J1689" s="222">
        <f>SUM(J1687:J1688)</f>
        <v>8704794.2400000002</v>
      </c>
    </row>
    <row r="1690" spans="1:10" s="4" customFormat="1" ht="33" x14ac:dyDescent="0.25">
      <c r="A1690" s="767">
        <v>26</v>
      </c>
      <c r="B1690" s="769" t="s">
        <v>349</v>
      </c>
      <c r="C1690" s="109" t="s">
        <v>500</v>
      </c>
      <c r="D1690" s="48">
        <v>11444832.539999999</v>
      </c>
      <c r="E1690" s="70" t="s">
        <v>946</v>
      </c>
      <c r="F1690" s="70" t="s">
        <v>755</v>
      </c>
      <c r="G1690" s="49">
        <v>11444832.539999999</v>
      </c>
      <c r="H1690" s="50">
        <v>42617</v>
      </c>
      <c r="I1690" s="50">
        <v>42657</v>
      </c>
      <c r="J1690" s="51">
        <v>9007826.1799999997</v>
      </c>
    </row>
    <row r="1691" spans="1:10" ht="33" outlineLevel="1" x14ac:dyDescent="0.25">
      <c r="A1691" s="768"/>
      <c r="B1691" s="764"/>
      <c r="C1691" s="150" t="s">
        <v>37</v>
      </c>
      <c r="D1691" s="151">
        <v>99540.25</v>
      </c>
      <c r="E1691" s="155" t="s">
        <v>576</v>
      </c>
      <c r="F1691" s="152" t="s">
        <v>586</v>
      </c>
      <c r="G1691" s="153">
        <v>99540.25</v>
      </c>
      <c r="H1691" s="154">
        <v>42429</v>
      </c>
      <c r="I1691" s="154">
        <v>42593</v>
      </c>
      <c r="J1691" s="155">
        <v>99540.25</v>
      </c>
    </row>
    <row r="1692" spans="1:10" ht="17.25" outlineLevel="1" thickBot="1" x14ac:dyDescent="0.3">
      <c r="A1692" s="686" t="s">
        <v>628</v>
      </c>
      <c r="B1692" s="687"/>
      <c r="C1692" s="321"/>
      <c r="D1692" s="222">
        <f>SUM(D1690:D1691)</f>
        <v>11544372.789999999</v>
      </c>
      <c r="E1692" s="88"/>
      <c r="F1692" s="88"/>
      <c r="G1692" s="323">
        <f>SUM(G1690:G1691)</f>
        <v>11544372.789999999</v>
      </c>
      <c r="H1692" s="88"/>
      <c r="I1692" s="130"/>
      <c r="J1692" s="222">
        <f>SUM(J1690:J1691)</f>
        <v>9107366.4299999997</v>
      </c>
    </row>
    <row r="1693" spans="1:10" s="4" customFormat="1" ht="33" x14ac:dyDescent="0.25">
      <c r="A1693" s="767">
        <v>27</v>
      </c>
      <c r="B1693" s="769" t="s">
        <v>341</v>
      </c>
      <c r="C1693" s="109" t="s">
        <v>34</v>
      </c>
      <c r="D1693" s="73">
        <v>10926736.640000001</v>
      </c>
      <c r="E1693" s="240" t="s">
        <v>968</v>
      </c>
      <c r="F1693" s="240" t="s">
        <v>757</v>
      </c>
      <c r="G1693" s="49">
        <v>10926736.640000001</v>
      </c>
      <c r="H1693" s="50">
        <v>42605</v>
      </c>
      <c r="I1693" s="50">
        <v>42783</v>
      </c>
      <c r="J1693" s="51">
        <v>9273142.6999999993</v>
      </c>
    </row>
    <row r="1694" spans="1:10" ht="33" outlineLevel="1" x14ac:dyDescent="0.25">
      <c r="A1694" s="768"/>
      <c r="B1694" s="764"/>
      <c r="C1694" s="110" t="s">
        <v>35</v>
      </c>
      <c r="D1694" s="73">
        <v>1265470.94</v>
      </c>
      <c r="E1694" s="501" t="s">
        <v>968</v>
      </c>
      <c r="F1694" s="501" t="s">
        <v>757</v>
      </c>
      <c r="G1694" s="245">
        <v>1265470.94</v>
      </c>
      <c r="H1694" s="504">
        <v>42605</v>
      </c>
      <c r="I1694" s="504">
        <v>42795</v>
      </c>
      <c r="J1694" s="499">
        <v>1009924</v>
      </c>
    </row>
    <row r="1695" spans="1:10" ht="33" outlineLevel="1" x14ac:dyDescent="0.25">
      <c r="A1695" s="768"/>
      <c r="B1695" s="764"/>
      <c r="C1695" s="110" t="s">
        <v>36</v>
      </c>
      <c r="D1695" s="110">
        <v>912063.3</v>
      </c>
      <c r="E1695" s="499" t="s">
        <v>968</v>
      </c>
      <c r="F1695" s="501" t="s">
        <v>757</v>
      </c>
      <c r="G1695" s="74">
        <v>912063.3</v>
      </c>
      <c r="H1695" s="504">
        <v>42605</v>
      </c>
      <c r="I1695" s="504">
        <v>42795</v>
      </c>
      <c r="J1695" s="499">
        <v>629439</v>
      </c>
    </row>
    <row r="1696" spans="1:10" ht="33" outlineLevel="1" x14ac:dyDescent="0.25">
      <c r="A1696" s="768"/>
      <c r="B1696" s="764"/>
      <c r="C1696" s="150" t="s">
        <v>37</v>
      </c>
      <c r="D1696" s="151">
        <v>175960.1</v>
      </c>
      <c r="E1696" s="155" t="s">
        <v>576</v>
      </c>
      <c r="F1696" s="152" t="s">
        <v>586</v>
      </c>
      <c r="G1696" s="153">
        <v>175960.1</v>
      </c>
      <c r="H1696" s="154">
        <v>42429</v>
      </c>
      <c r="I1696" s="154">
        <v>42593</v>
      </c>
      <c r="J1696" s="155">
        <v>175960.1</v>
      </c>
    </row>
    <row r="1697" spans="1:10" ht="17.25" outlineLevel="1" thickBot="1" x14ac:dyDescent="0.3">
      <c r="A1697" s="724" t="s">
        <v>628</v>
      </c>
      <c r="B1697" s="725"/>
      <c r="C1697" s="284"/>
      <c r="D1697" s="269">
        <f>SUM(D1693:D1696)</f>
        <v>13280230.98</v>
      </c>
      <c r="E1697" s="90"/>
      <c r="F1697" s="90"/>
      <c r="G1697" s="333">
        <f>SUM(G1693:G1696)</f>
        <v>13280230.98</v>
      </c>
      <c r="H1697" s="90"/>
      <c r="I1697" s="108"/>
      <c r="J1697" s="269">
        <f>SUM(J1693:J1696)</f>
        <v>11088465.799999999</v>
      </c>
    </row>
    <row r="1698" spans="1:10" s="4" customFormat="1" ht="33" x14ac:dyDescent="0.25">
      <c r="A1698" s="767">
        <v>28</v>
      </c>
      <c r="B1698" s="769" t="s">
        <v>584</v>
      </c>
      <c r="C1698" s="109" t="s">
        <v>34</v>
      </c>
      <c r="D1698" s="48">
        <v>10732133.039999999</v>
      </c>
      <c r="E1698" s="70" t="s">
        <v>1026</v>
      </c>
      <c r="F1698" s="70" t="s">
        <v>755</v>
      </c>
      <c r="G1698" s="49">
        <v>11508542.220000001</v>
      </c>
      <c r="H1698" s="50">
        <v>42598</v>
      </c>
      <c r="I1698" s="50">
        <v>42598</v>
      </c>
      <c r="J1698" s="51">
        <v>10732133.039999999</v>
      </c>
    </row>
    <row r="1699" spans="1:10" ht="33" outlineLevel="1" x14ac:dyDescent="0.25">
      <c r="A1699" s="768"/>
      <c r="B1699" s="764"/>
      <c r="C1699" s="110" t="s">
        <v>36</v>
      </c>
      <c r="D1699" s="73">
        <v>1008017.36</v>
      </c>
      <c r="E1699" s="52" t="s">
        <v>1026</v>
      </c>
      <c r="F1699" s="91" t="s">
        <v>755</v>
      </c>
      <c r="G1699" s="74">
        <v>1011215.03</v>
      </c>
      <c r="H1699" s="75">
        <v>42598</v>
      </c>
      <c r="I1699" s="347">
        <v>1208777.8400000001</v>
      </c>
      <c r="J1699" s="52">
        <v>1008017.36</v>
      </c>
    </row>
    <row r="1700" spans="1:10" ht="33" outlineLevel="1" x14ac:dyDescent="0.25">
      <c r="A1700" s="768"/>
      <c r="B1700" s="764"/>
      <c r="C1700" s="142" t="s">
        <v>501</v>
      </c>
      <c r="D1700" s="141">
        <v>14590000</v>
      </c>
      <c r="E1700" s="57" t="s">
        <v>1050</v>
      </c>
      <c r="F1700" s="194" t="s">
        <v>933</v>
      </c>
      <c r="G1700" s="331">
        <v>13300004.33</v>
      </c>
      <c r="H1700" s="55">
        <v>42906</v>
      </c>
      <c r="I1700" s="56"/>
      <c r="J1700" s="57"/>
    </row>
    <row r="1701" spans="1:10" ht="33" outlineLevel="1" x14ac:dyDescent="0.25">
      <c r="A1701" s="768"/>
      <c r="B1701" s="764"/>
      <c r="C1701" s="150" t="s">
        <v>37</v>
      </c>
      <c r="D1701" s="151">
        <v>230803.22</v>
      </c>
      <c r="E1701" s="155" t="s">
        <v>576</v>
      </c>
      <c r="F1701" s="152" t="s">
        <v>586</v>
      </c>
      <c r="G1701" s="153">
        <v>230803.22</v>
      </c>
      <c r="H1701" s="154">
        <v>42429</v>
      </c>
      <c r="I1701" s="154">
        <v>42593</v>
      </c>
      <c r="J1701" s="155">
        <v>230803.22</v>
      </c>
    </row>
    <row r="1702" spans="1:10" ht="17.25" outlineLevel="1" thickBot="1" x14ac:dyDescent="0.3">
      <c r="A1702" s="686" t="s">
        <v>628</v>
      </c>
      <c r="B1702" s="687"/>
      <c r="C1702" s="321"/>
      <c r="D1702" s="269">
        <f>SUM(D1698:D1701)</f>
        <v>26560953.619999997</v>
      </c>
      <c r="E1702" s="88"/>
      <c r="F1702" s="88"/>
      <c r="G1702" s="333">
        <f>SUM(G1698:G1701)</f>
        <v>26050564.799999997</v>
      </c>
      <c r="H1702" s="88"/>
      <c r="I1702" s="130"/>
      <c r="J1702" s="269">
        <f>SUM(J1698:J1701)</f>
        <v>11970953.619999999</v>
      </c>
    </row>
    <row r="1703" spans="1:10" s="4" customFormat="1" ht="33" x14ac:dyDescent="0.25">
      <c r="A1703" s="767">
        <v>29</v>
      </c>
      <c r="B1703" s="769" t="s">
        <v>585</v>
      </c>
      <c r="C1703" s="109" t="s">
        <v>34</v>
      </c>
      <c r="D1703" s="48">
        <v>10387196.619999999</v>
      </c>
      <c r="E1703" s="70" t="s">
        <v>1026</v>
      </c>
      <c r="F1703" s="70" t="s">
        <v>1026</v>
      </c>
      <c r="G1703" s="49">
        <v>10569587.73</v>
      </c>
      <c r="H1703" s="50">
        <v>42598</v>
      </c>
      <c r="I1703" s="50">
        <v>42598</v>
      </c>
      <c r="J1703" s="51">
        <v>10387196.619999999</v>
      </c>
    </row>
    <row r="1704" spans="1:10" ht="33" outlineLevel="1" x14ac:dyDescent="0.25">
      <c r="A1704" s="768"/>
      <c r="B1704" s="764"/>
      <c r="C1704" s="110" t="s">
        <v>36</v>
      </c>
      <c r="D1704" s="73">
        <v>1008017.36</v>
      </c>
      <c r="E1704" s="52" t="s">
        <v>1026</v>
      </c>
      <c r="F1704" s="91" t="s">
        <v>1026</v>
      </c>
      <c r="G1704" s="74">
        <v>1011215.03</v>
      </c>
      <c r="H1704" s="76">
        <v>42598</v>
      </c>
      <c r="I1704" s="75">
        <v>42598</v>
      </c>
      <c r="J1704" s="52">
        <v>1008017.36</v>
      </c>
    </row>
    <row r="1705" spans="1:10" ht="33" outlineLevel="1" x14ac:dyDescent="0.25">
      <c r="A1705" s="768"/>
      <c r="B1705" s="764"/>
      <c r="C1705" s="150" t="s">
        <v>37</v>
      </c>
      <c r="D1705" s="151">
        <v>80034.5</v>
      </c>
      <c r="E1705" s="155" t="s">
        <v>576</v>
      </c>
      <c r="F1705" s="152" t="s">
        <v>586</v>
      </c>
      <c r="G1705" s="153">
        <v>80034.5</v>
      </c>
      <c r="H1705" s="154">
        <v>42429</v>
      </c>
      <c r="I1705" s="154">
        <v>42593</v>
      </c>
      <c r="J1705" s="155">
        <v>80034.5</v>
      </c>
    </row>
    <row r="1706" spans="1:10" ht="17.25" outlineLevel="1" thickBot="1" x14ac:dyDescent="0.3">
      <c r="A1706" s="686" t="s">
        <v>628</v>
      </c>
      <c r="B1706" s="687"/>
      <c r="C1706" s="321"/>
      <c r="D1706" s="222">
        <f>SUM(D1703:D1705)</f>
        <v>11475248.479999999</v>
      </c>
      <c r="E1706" s="88"/>
      <c r="F1706" s="88"/>
      <c r="G1706" s="323">
        <f>SUM(G1703:G1705)</f>
        <v>11660837.26</v>
      </c>
      <c r="H1706" s="88"/>
      <c r="I1706" s="130"/>
      <c r="J1706" s="222">
        <f>SUM(J1703:J1705)</f>
        <v>11475248.479999999</v>
      </c>
    </row>
    <row r="1707" spans="1:10" s="4" customFormat="1" ht="33" x14ac:dyDescent="0.25">
      <c r="A1707" s="767">
        <v>30</v>
      </c>
      <c r="B1707" s="777" t="s">
        <v>340</v>
      </c>
      <c r="C1707" s="109" t="s">
        <v>500</v>
      </c>
      <c r="D1707" s="73">
        <v>3837521.66</v>
      </c>
      <c r="E1707" s="240" t="s">
        <v>934</v>
      </c>
      <c r="F1707" s="70" t="s">
        <v>933</v>
      </c>
      <c r="G1707" s="390">
        <v>4047995.9</v>
      </c>
      <c r="H1707" s="72">
        <v>42639</v>
      </c>
      <c r="I1707" s="50">
        <v>42661</v>
      </c>
      <c r="J1707" s="51">
        <v>3837521.66</v>
      </c>
    </row>
    <row r="1708" spans="1:10" ht="33" outlineLevel="1" x14ac:dyDescent="0.25">
      <c r="A1708" s="768"/>
      <c r="B1708" s="775"/>
      <c r="C1708" s="142" t="s">
        <v>501</v>
      </c>
      <c r="D1708" s="141">
        <v>5785000</v>
      </c>
      <c r="E1708" s="194" t="s">
        <v>1049</v>
      </c>
      <c r="F1708" s="161" t="s">
        <v>933</v>
      </c>
      <c r="G1708" s="141">
        <v>4733437.29</v>
      </c>
      <c r="H1708" s="55">
        <v>42906</v>
      </c>
      <c r="I1708" s="56"/>
      <c r="J1708" s="57"/>
    </row>
    <row r="1709" spans="1:10" ht="33" outlineLevel="1" x14ac:dyDescent="0.25">
      <c r="A1709" s="768"/>
      <c r="B1709" s="775"/>
      <c r="C1709" s="150" t="s">
        <v>37</v>
      </c>
      <c r="D1709" s="151">
        <v>151699.73000000001</v>
      </c>
      <c r="E1709" s="155" t="s">
        <v>576</v>
      </c>
      <c r="F1709" s="152" t="s">
        <v>586</v>
      </c>
      <c r="G1709" s="153">
        <v>151699.73000000001</v>
      </c>
      <c r="H1709" s="154">
        <v>42429</v>
      </c>
      <c r="I1709" s="154">
        <v>42593</v>
      </c>
      <c r="J1709" s="155">
        <v>151699.73000000001</v>
      </c>
    </row>
    <row r="1710" spans="1:10" ht="17.25" outlineLevel="1" thickBot="1" x14ac:dyDescent="0.3">
      <c r="A1710" s="724" t="s">
        <v>628</v>
      </c>
      <c r="B1710" s="725"/>
      <c r="C1710" s="284"/>
      <c r="D1710" s="222">
        <f>SUM(D1707:D1709)</f>
        <v>9774221.3900000006</v>
      </c>
      <c r="E1710" s="90"/>
      <c r="F1710" s="90"/>
      <c r="G1710" s="323">
        <f>SUM(G1707:G1709)</f>
        <v>8933132.9199999999</v>
      </c>
      <c r="H1710" s="90"/>
      <c r="I1710" s="108"/>
      <c r="J1710" s="222">
        <f>SUM(J1707:J1709)</f>
        <v>3989221.39</v>
      </c>
    </row>
    <row r="1711" spans="1:10" s="4" customFormat="1" ht="33" x14ac:dyDescent="0.25">
      <c r="A1711" s="767">
        <v>31</v>
      </c>
      <c r="B1711" s="769" t="s">
        <v>351</v>
      </c>
      <c r="C1711" s="109" t="s">
        <v>500</v>
      </c>
      <c r="D1711" s="48">
        <v>4483164.5599999996</v>
      </c>
      <c r="E1711" s="70" t="s">
        <v>934</v>
      </c>
      <c r="F1711" s="70" t="s">
        <v>933</v>
      </c>
      <c r="G1711" s="49">
        <v>4484571.12</v>
      </c>
      <c r="H1711" s="50">
        <v>42639</v>
      </c>
      <c r="I1711" s="50">
        <v>42661</v>
      </c>
      <c r="J1711" s="51">
        <v>4483164.5599999996</v>
      </c>
    </row>
    <row r="1712" spans="1:10" ht="33" outlineLevel="1" x14ac:dyDescent="0.25">
      <c r="A1712" s="768"/>
      <c r="B1712" s="764"/>
      <c r="C1712" s="150" t="s">
        <v>37</v>
      </c>
      <c r="D1712" s="151">
        <v>98625.279999999999</v>
      </c>
      <c r="E1712" s="155" t="s">
        <v>576</v>
      </c>
      <c r="F1712" s="152" t="s">
        <v>586</v>
      </c>
      <c r="G1712" s="153">
        <v>98625.279999999999</v>
      </c>
      <c r="H1712" s="154">
        <v>42429</v>
      </c>
      <c r="I1712" s="154">
        <v>42593</v>
      </c>
      <c r="J1712" s="155">
        <v>98625.279999999999</v>
      </c>
    </row>
    <row r="1713" spans="1:10" ht="17.25" outlineLevel="1" thickBot="1" x14ac:dyDescent="0.3">
      <c r="A1713" s="686" t="s">
        <v>628</v>
      </c>
      <c r="B1713" s="687"/>
      <c r="C1713" s="321"/>
      <c r="D1713" s="222">
        <f>SUM(D1711:D1712)</f>
        <v>4581789.84</v>
      </c>
      <c r="E1713" s="88"/>
      <c r="F1713" s="88"/>
      <c r="G1713" s="323">
        <f>SUM(G1711:G1712)</f>
        <v>4583196.4000000004</v>
      </c>
      <c r="H1713" s="88"/>
      <c r="I1713" s="130"/>
      <c r="J1713" s="222">
        <f>SUM(J1711:J1712)</f>
        <v>4581789.84</v>
      </c>
    </row>
    <row r="1714" spans="1:10" s="4" customFormat="1" ht="32.25" customHeight="1" x14ac:dyDescent="0.25">
      <c r="A1714" s="767">
        <v>32</v>
      </c>
      <c r="B1714" s="769" t="s">
        <v>350</v>
      </c>
      <c r="C1714" s="109" t="s">
        <v>500</v>
      </c>
      <c r="D1714" s="48">
        <v>7098698.6699999999</v>
      </c>
      <c r="E1714" s="70" t="s">
        <v>864</v>
      </c>
      <c r="F1714" s="70" t="s">
        <v>865</v>
      </c>
      <c r="G1714" s="49">
        <v>7098698.6699999999</v>
      </c>
      <c r="H1714" s="50">
        <v>42622</v>
      </c>
      <c r="I1714" s="50">
        <v>42641</v>
      </c>
      <c r="J1714" s="51">
        <v>5943822.8399999999</v>
      </c>
    </row>
    <row r="1715" spans="1:10" ht="33" outlineLevel="1" x14ac:dyDescent="0.25">
      <c r="A1715" s="768"/>
      <c r="B1715" s="764"/>
      <c r="C1715" s="150" t="s">
        <v>37</v>
      </c>
      <c r="D1715" s="151">
        <v>99404.92</v>
      </c>
      <c r="E1715" s="155" t="s">
        <v>576</v>
      </c>
      <c r="F1715" s="152" t="s">
        <v>586</v>
      </c>
      <c r="G1715" s="153">
        <v>99404.92</v>
      </c>
      <c r="H1715" s="154">
        <v>42429</v>
      </c>
      <c r="I1715" s="154">
        <v>42593</v>
      </c>
      <c r="J1715" s="155">
        <v>99404.92</v>
      </c>
    </row>
    <row r="1716" spans="1:10" ht="17.25" outlineLevel="1" thickBot="1" x14ac:dyDescent="0.3">
      <c r="A1716" s="724" t="s">
        <v>628</v>
      </c>
      <c r="B1716" s="725"/>
      <c r="C1716" s="284"/>
      <c r="D1716" s="269">
        <f>SUM(D1714:D1715)</f>
        <v>7198103.5899999999</v>
      </c>
      <c r="E1716" s="90"/>
      <c r="F1716" s="90"/>
      <c r="G1716" s="333">
        <f>SUM(G1714:G1715)</f>
        <v>7198103.5899999999</v>
      </c>
      <c r="H1716" s="90"/>
      <c r="I1716" s="108"/>
      <c r="J1716" s="269">
        <f>SUM(J1714:J1715)</f>
        <v>6043227.7599999998</v>
      </c>
    </row>
    <row r="1717" spans="1:10" s="24" customFormat="1" ht="16.5" outlineLevel="1" x14ac:dyDescent="0.25">
      <c r="A1717" s="785">
        <v>33</v>
      </c>
      <c r="B1717" s="860" t="s">
        <v>688</v>
      </c>
      <c r="C1717" s="304" t="s">
        <v>34</v>
      </c>
      <c r="D1717" s="305">
        <v>7489998.0800000001</v>
      </c>
      <c r="E1717" s="754" t="s">
        <v>1070</v>
      </c>
      <c r="F1717" s="754" t="s">
        <v>757</v>
      </c>
      <c r="G1717" s="390">
        <v>7489998.0800000001</v>
      </c>
      <c r="H1717" s="876">
        <v>42704</v>
      </c>
      <c r="I1717" s="72">
        <v>42795</v>
      </c>
      <c r="J1717" s="227">
        <v>9940057</v>
      </c>
    </row>
    <row r="1718" spans="1:10" ht="16.5" outlineLevel="1" x14ac:dyDescent="0.25">
      <c r="A1718" s="743"/>
      <c r="B1718" s="760"/>
      <c r="C1718" s="110" t="s">
        <v>35</v>
      </c>
      <c r="D1718" s="73">
        <v>4868080.5599999996</v>
      </c>
      <c r="E1718" s="755"/>
      <c r="F1718" s="755"/>
      <c r="G1718" s="508">
        <v>4868080.5599999996</v>
      </c>
      <c r="H1718" s="755"/>
      <c r="I1718" s="507">
        <v>42795</v>
      </c>
      <c r="J1718" s="506">
        <v>1214928</v>
      </c>
    </row>
    <row r="1719" spans="1:10" ht="16.5" outlineLevel="1" x14ac:dyDescent="0.25">
      <c r="A1719" s="743"/>
      <c r="B1719" s="760"/>
      <c r="C1719" s="110" t="s">
        <v>36</v>
      </c>
      <c r="D1719" s="104">
        <v>641060.96</v>
      </c>
      <c r="E1719" s="756"/>
      <c r="F1719" s="756"/>
      <c r="G1719" s="106">
        <v>641060.96</v>
      </c>
      <c r="H1719" s="756"/>
      <c r="I1719" s="557">
        <v>42853</v>
      </c>
      <c r="J1719" s="561">
        <v>542407.65</v>
      </c>
    </row>
    <row r="1720" spans="1:10" ht="17.25" outlineLevel="1" thickBot="1" x14ac:dyDescent="0.3">
      <c r="A1720" s="743"/>
      <c r="B1720" s="760"/>
      <c r="C1720" s="284" t="s">
        <v>37</v>
      </c>
      <c r="D1720" s="392">
        <v>217620</v>
      </c>
      <c r="E1720" s="393"/>
      <c r="F1720" s="393"/>
      <c r="G1720" s="394"/>
      <c r="H1720" s="393"/>
      <c r="I1720" s="395"/>
      <c r="J1720" s="396"/>
    </row>
    <row r="1721" spans="1:10" s="3" customFormat="1" ht="17.25" outlineLevel="1" thickBot="1" x14ac:dyDescent="0.3">
      <c r="A1721" s="741" t="s">
        <v>628</v>
      </c>
      <c r="B1721" s="742"/>
      <c r="C1721" s="397"/>
      <c r="D1721" s="197">
        <f>SUM(D1717:D1720)</f>
        <v>13216759.600000001</v>
      </c>
      <c r="E1721" s="398"/>
      <c r="F1721" s="398"/>
      <c r="G1721" s="197">
        <f>SUM(G1717:G1720)</f>
        <v>12999139.600000001</v>
      </c>
      <c r="H1721" s="398"/>
      <c r="I1721" s="202"/>
      <c r="J1721" s="197">
        <f>SUM(J1717:J1720)</f>
        <v>11697392.65</v>
      </c>
    </row>
    <row r="1722" spans="1:10" s="14" customFormat="1" ht="19.5" customHeight="1" outlineLevel="1" x14ac:dyDescent="0.25">
      <c r="A1722" s="308"/>
      <c r="B1722" s="861" t="s">
        <v>1008</v>
      </c>
      <c r="C1722" s="861"/>
      <c r="D1722" s="296">
        <v>2085815.2</v>
      </c>
      <c r="E1722" s="319"/>
      <c r="F1722" s="181"/>
      <c r="G1722" s="296">
        <f>SUM(G1723:G1732)</f>
        <v>2085815.2000000002</v>
      </c>
      <c r="H1722" s="399"/>
      <c r="I1722" s="586"/>
      <c r="J1722" s="587">
        <f>SUM(J1723:J1732)</f>
        <v>1767640</v>
      </c>
    </row>
    <row r="1723" spans="1:10" s="30" customFormat="1" ht="54" customHeight="1" outlineLevel="1" x14ac:dyDescent="0.25">
      <c r="A1723" s="400"/>
      <c r="B1723" s="400" t="s">
        <v>1166</v>
      </c>
      <c r="C1723" s="140" t="s">
        <v>37</v>
      </c>
      <c r="D1723" s="375"/>
      <c r="E1723" s="866" t="s">
        <v>1169</v>
      </c>
      <c r="F1723" s="867" t="s">
        <v>1171</v>
      </c>
      <c r="G1723" s="141">
        <v>263529.40000000002</v>
      </c>
      <c r="H1723" s="868">
        <v>42732</v>
      </c>
      <c r="I1723" s="588">
        <v>42874</v>
      </c>
      <c r="J1723" s="6">
        <v>223330</v>
      </c>
    </row>
    <row r="1724" spans="1:10" s="30" customFormat="1" ht="33.75" customHeight="1" outlineLevel="1" x14ac:dyDescent="0.25">
      <c r="A1724" s="400"/>
      <c r="B1724" s="400" t="s">
        <v>26</v>
      </c>
      <c r="C1724" s="140" t="s">
        <v>37</v>
      </c>
      <c r="D1724" s="375"/>
      <c r="E1724" s="866"/>
      <c r="F1724" s="867"/>
      <c r="G1724" s="375">
        <v>256012.79999999999</v>
      </c>
      <c r="H1724" s="685"/>
      <c r="I1724" s="588">
        <v>42874</v>
      </c>
      <c r="J1724" s="268">
        <v>216960</v>
      </c>
    </row>
    <row r="1725" spans="1:10" s="30" customFormat="1" ht="32.25" customHeight="1" outlineLevel="1" x14ac:dyDescent="0.25">
      <c r="A1725" s="400"/>
      <c r="B1725" s="400" t="s">
        <v>27</v>
      </c>
      <c r="C1725" s="140" t="s">
        <v>37</v>
      </c>
      <c r="D1725" s="375"/>
      <c r="E1725" s="866"/>
      <c r="F1725" s="867"/>
      <c r="G1725" s="375">
        <v>255518.38</v>
      </c>
      <c r="H1725" s="685"/>
      <c r="I1725" s="585">
        <v>42874</v>
      </c>
      <c r="J1725" s="141">
        <v>216541</v>
      </c>
    </row>
    <row r="1726" spans="1:10" s="30" customFormat="1" ht="34.5" customHeight="1" outlineLevel="1" x14ac:dyDescent="0.25">
      <c r="A1726" s="376"/>
      <c r="B1726" s="400" t="s">
        <v>28</v>
      </c>
      <c r="C1726" s="140" t="s">
        <v>37</v>
      </c>
      <c r="D1726" s="375"/>
      <c r="E1726" s="866"/>
      <c r="F1726" s="867"/>
      <c r="G1726" s="375">
        <v>236881.46</v>
      </c>
      <c r="H1726" s="685"/>
      <c r="I1726" s="585">
        <v>42874</v>
      </c>
      <c r="J1726" s="141">
        <v>200747</v>
      </c>
    </row>
    <row r="1727" spans="1:10" s="30" customFormat="1" ht="30" customHeight="1" outlineLevel="1" x14ac:dyDescent="0.25">
      <c r="A1727" s="373"/>
      <c r="B1727" s="862" t="s">
        <v>1167</v>
      </c>
      <c r="C1727" s="178" t="s">
        <v>37</v>
      </c>
      <c r="D1727" s="374"/>
      <c r="E1727" s="319" t="s">
        <v>1169</v>
      </c>
      <c r="F1727" s="181" t="s">
        <v>1171</v>
      </c>
      <c r="G1727" s="401">
        <v>361124.84</v>
      </c>
      <c r="H1727" s="58">
        <v>42732</v>
      </c>
      <c r="I1727" s="585">
        <v>42874</v>
      </c>
      <c r="J1727" s="268">
        <v>306038</v>
      </c>
    </row>
    <row r="1728" spans="1:10" s="30" customFormat="1" ht="30" customHeight="1" outlineLevel="1" x14ac:dyDescent="0.25">
      <c r="A1728" s="373"/>
      <c r="B1728" s="856"/>
      <c r="C1728" s="140" t="s">
        <v>37</v>
      </c>
      <c r="D1728" s="375"/>
      <c r="E1728" s="330" t="s">
        <v>1172</v>
      </c>
      <c r="F1728" s="57" t="s">
        <v>787</v>
      </c>
      <c r="G1728" s="53">
        <v>96440.22</v>
      </c>
      <c r="H1728" s="55">
        <v>42791</v>
      </c>
      <c r="I1728" s="471">
        <v>42788</v>
      </c>
      <c r="J1728" s="141">
        <v>81729</v>
      </c>
    </row>
    <row r="1729" spans="1:10" s="30" customFormat="1" ht="33.75" customHeight="1" outlineLevel="1" x14ac:dyDescent="0.25">
      <c r="A1729" s="373"/>
      <c r="B1729" s="856" t="s">
        <v>1168</v>
      </c>
      <c r="C1729" s="140" t="s">
        <v>37</v>
      </c>
      <c r="D1729" s="375"/>
      <c r="E1729" s="330" t="s">
        <v>1169</v>
      </c>
      <c r="F1729" s="57" t="s">
        <v>1171</v>
      </c>
      <c r="G1729" s="53">
        <v>360683.52000000002</v>
      </c>
      <c r="H1729" s="55">
        <v>42732</v>
      </c>
      <c r="I1729" s="585">
        <v>42874</v>
      </c>
      <c r="J1729" s="141">
        <v>305664</v>
      </c>
    </row>
    <row r="1730" spans="1:10" s="30" customFormat="1" ht="33.75" customHeight="1" outlineLevel="1" x14ac:dyDescent="0.25">
      <c r="A1730" s="373"/>
      <c r="B1730" s="856"/>
      <c r="C1730" s="140" t="s">
        <v>37</v>
      </c>
      <c r="D1730" s="375"/>
      <c r="E1730" s="330" t="s">
        <v>1172</v>
      </c>
      <c r="F1730" s="57" t="s">
        <v>787</v>
      </c>
      <c r="G1730" s="53">
        <v>96351.72</v>
      </c>
      <c r="H1730" s="55">
        <v>42791</v>
      </c>
      <c r="I1730" s="471">
        <v>42788</v>
      </c>
      <c r="J1730" s="141">
        <v>81654</v>
      </c>
    </row>
    <row r="1731" spans="1:10" s="30" customFormat="1" ht="34.5" customHeight="1" outlineLevel="1" x14ac:dyDescent="0.25">
      <c r="A1731" s="373"/>
      <c r="B1731" s="856" t="s">
        <v>578</v>
      </c>
      <c r="C1731" s="140" t="s">
        <v>37</v>
      </c>
      <c r="D1731" s="375"/>
      <c r="E1731" s="330" t="s">
        <v>1169</v>
      </c>
      <c r="F1731" s="57" t="s">
        <v>1171</v>
      </c>
      <c r="G1731" s="53">
        <v>69786.38</v>
      </c>
      <c r="H1731" s="55">
        <v>42732</v>
      </c>
      <c r="I1731" s="585">
        <v>42874</v>
      </c>
      <c r="J1731" s="141">
        <v>59141</v>
      </c>
    </row>
    <row r="1732" spans="1:10" s="30" customFormat="1" ht="34.5" customHeight="1" outlineLevel="1" x14ac:dyDescent="0.25">
      <c r="A1732" s="373"/>
      <c r="B1732" s="856"/>
      <c r="C1732" s="140" t="s">
        <v>37</v>
      </c>
      <c r="D1732" s="375"/>
      <c r="E1732" s="330" t="s">
        <v>1172</v>
      </c>
      <c r="F1732" s="57" t="s">
        <v>787</v>
      </c>
      <c r="G1732" s="53">
        <v>89486.48</v>
      </c>
      <c r="H1732" s="55">
        <v>42791</v>
      </c>
      <c r="I1732" s="471">
        <v>42788</v>
      </c>
      <c r="J1732" s="141">
        <v>75836</v>
      </c>
    </row>
    <row r="1733" spans="1:10" ht="17.25" outlineLevel="1" thickBot="1" x14ac:dyDescent="0.3">
      <c r="A1733" s="726" t="s">
        <v>629</v>
      </c>
      <c r="B1733" s="727"/>
      <c r="C1733" s="143"/>
      <c r="D1733" s="147">
        <f>SUM(D1721,D1716,D1713,D1710,D1706,D1702,D1697,D1692,D1689,D1686,D1681,D1678,D1675,D1670,D1667,D1664,D1661,D1658,D1655,D1652,D1649,D1646,D1643,D1640,D1637,D1635,D1632,D1629,D1626,D1623,D1620,D1613,D1610,D1722)</f>
        <v>292338099.47999996</v>
      </c>
      <c r="E1733" s="145"/>
      <c r="F1733" s="145"/>
      <c r="G1733" s="144">
        <f>SUM(G1716,G1713,G1710,G1706,G1702,G1697,G1692,G1689,G1686,G1681,G1678,G1675,G1670,G1667,G1664,G1661,G1658,G1655,G1652,G1649,G1646,G1643,G1640,G1637,G1635,G1632,G1629,G1626,G1623,G1620,G1613,G1610,G1721,G1722)</f>
        <v>292415297.69</v>
      </c>
      <c r="H1733" s="145"/>
      <c r="I1733" s="146"/>
      <c r="J1733" s="147">
        <f>SUM(J1716,J1713,J1710,J1706,J1702,J1697,J1692,J1689,J1686,J1681,J1678,J1675,J1670,J1667,J1664,J1661,J1658,J1655,J1652,J1649,J1646,J1643,J1640,J1637,J1635,J1632,J1629,J1626,J1623,J1620,J1613,J1610,J1721,J1722)</f>
        <v>187157535.62</v>
      </c>
    </row>
    <row r="1734" spans="1:10" s="4" customFormat="1" ht="30" customHeight="1" thickBot="1" x14ac:dyDescent="0.3">
      <c r="A1734" s="801" t="s">
        <v>649</v>
      </c>
      <c r="B1734" s="802"/>
      <c r="C1734" s="802"/>
      <c r="D1734" s="802"/>
      <c r="E1734" s="802"/>
      <c r="F1734" s="802"/>
      <c r="G1734" s="802"/>
      <c r="H1734" s="802"/>
      <c r="I1734" s="802"/>
      <c r="J1734" s="802"/>
    </row>
    <row r="1735" spans="1:10" s="10" customFormat="1" ht="31.5" customHeight="1" x14ac:dyDescent="0.25">
      <c r="A1735" s="765">
        <v>1</v>
      </c>
      <c r="B1735" s="852" t="s">
        <v>356</v>
      </c>
      <c r="C1735" s="48" t="s">
        <v>34</v>
      </c>
      <c r="D1735" s="48">
        <v>2651521.2200000002</v>
      </c>
      <c r="E1735" s="240" t="s">
        <v>937</v>
      </c>
      <c r="F1735" s="240" t="s">
        <v>938</v>
      </c>
      <c r="G1735" s="390">
        <v>2651521.2200000002</v>
      </c>
      <c r="H1735" s="72">
        <v>42612</v>
      </c>
      <c r="I1735" s="50">
        <v>42698</v>
      </c>
      <c r="J1735" s="51">
        <v>3252272.61</v>
      </c>
    </row>
    <row r="1736" spans="1:10" s="15" customFormat="1" ht="33" outlineLevel="1" x14ac:dyDescent="0.25">
      <c r="A1736" s="766"/>
      <c r="B1736" s="853"/>
      <c r="C1736" s="73" t="s">
        <v>35</v>
      </c>
      <c r="D1736" s="236">
        <v>429841.39</v>
      </c>
      <c r="E1736" s="91" t="s">
        <v>937</v>
      </c>
      <c r="F1736" s="91" t="s">
        <v>938</v>
      </c>
      <c r="G1736" s="52">
        <v>429841.39</v>
      </c>
      <c r="H1736" s="75">
        <v>42612</v>
      </c>
      <c r="I1736" s="294">
        <v>42698</v>
      </c>
      <c r="J1736" s="52">
        <v>272678.99</v>
      </c>
    </row>
    <row r="1737" spans="1:10" s="15" customFormat="1" ht="33" outlineLevel="1" x14ac:dyDescent="0.25">
      <c r="A1737" s="766"/>
      <c r="B1737" s="853"/>
      <c r="C1737" s="73" t="s">
        <v>36</v>
      </c>
      <c r="D1737" s="236">
        <v>572000</v>
      </c>
      <c r="E1737" s="91" t="s">
        <v>937</v>
      </c>
      <c r="F1737" s="91" t="s">
        <v>938</v>
      </c>
      <c r="G1737" s="73">
        <v>472317.68</v>
      </c>
      <c r="H1737" s="75">
        <v>42612</v>
      </c>
      <c r="I1737" s="294">
        <v>42698</v>
      </c>
      <c r="J1737" s="52">
        <v>312681.52</v>
      </c>
    </row>
    <row r="1738" spans="1:10" s="15" customFormat="1" ht="33" outlineLevel="1" x14ac:dyDescent="0.25">
      <c r="A1738" s="766"/>
      <c r="B1738" s="853"/>
      <c r="C1738" s="73" t="s">
        <v>501</v>
      </c>
      <c r="D1738" s="73">
        <v>4570000</v>
      </c>
      <c r="E1738" s="107" t="s">
        <v>995</v>
      </c>
      <c r="F1738" s="105" t="s">
        <v>721</v>
      </c>
      <c r="G1738" s="106">
        <v>4570000</v>
      </c>
      <c r="H1738" s="76">
        <v>42887</v>
      </c>
      <c r="I1738" s="75">
        <v>42704</v>
      </c>
      <c r="J1738" s="52">
        <v>3902361.73</v>
      </c>
    </row>
    <row r="1739" spans="1:10" s="15" customFormat="1" ht="33" outlineLevel="1" x14ac:dyDescent="0.25">
      <c r="A1739" s="766"/>
      <c r="B1739" s="853"/>
      <c r="C1739" s="150" t="s">
        <v>37</v>
      </c>
      <c r="D1739" s="151">
        <v>142050.06</v>
      </c>
      <c r="E1739" s="155" t="s">
        <v>550</v>
      </c>
      <c r="F1739" s="152" t="s">
        <v>541</v>
      </c>
      <c r="G1739" s="153">
        <f>120497.28*1.18</f>
        <v>142186.7904</v>
      </c>
      <c r="H1739" s="154">
        <v>42460</v>
      </c>
      <c r="I1739" s="154">
        <v>42593</v>
      </c>
      <c r="J1739" s="155">
        <v>142050.06</v>
      </c>
    </row>
    <row r="1740" spans="1:10" s="9" customFormat="1" ht="16.5" outlineLevel="1" x14ac:dyDescent="0.25">
      <c r="A1740" s="776"/>
      <c r="B1740" s="774"/>
      <c r="C1740" s="112" t="s">
        <v>1007</v>
      </c>
      <c r="D1740" s="89">
        <v>175979.95985399999</v>
      </c>
      <c r="E1740" s="332"/>
      <c r="F1740" s="125"/>
      <c r="G1740" s="334"/>
      <c r="H1740" s="123"/>
      <c r="I1740" s="123"/>
      <c r="J1740" s="125"/>
    </row>
    <row r="1741" spans="1:10" s="15" customFormat="1" ht="18" outlineLevel="1" thickBot="1" x14ac:dyDescent="0.3">
      <c r="A1741" s="686" t="s">
        <v>628</v>
      </c>
      <c r="B1741" s="687"/>
      <c r="C1741" s="223"/>
      <c r="D1741" s="222">
        <f>SUM(D1735:D1740)</f>
        <v>8541392.6298539992</v>
      </c>
      <c r="E1741" s="402"/>
      <c r="F1741" s="402"/>
      <c r="G1741" s="323">
        <f>SUM(G1735:G1739)</f>
        <v>8265867.0804000013</v>
      </c>
      <c r="H1741" s="402"/>
      <c r="I1741" s="403"/>
      <c r="J1741" s="222">
        <f>SUM(J1735:J1739)</f>
        <v>7882044.9099999992</v>
      </c>
    </row>
    <row r="1742" spans="1:10" s="10" customFormat="1" ht="33" x14ac:dyDescent="0.25">
      <c r="A1742" s="765">
        <v>2</v>
      </c>
      <c r="B1742" s="770" t="s">
        <v>359</v>
      </c>
      <c r="C1742" s="109" t="s">
        <v>36</v>
      </c>
      <c r="D1742" s="48">
        <v>580000</v>
      </c>
      <c r="E1742" s="70" t="s">
        <v>937</v>
      </c>
      <c r="F1742" s="91" t="s">
        <v>938</v>
      </c>
      <c r="G1742" s="49">
        <v>482159.65</v>
      </c>
      <c r="H1742" s="50">
        <v>42612</v>
      </c>
      <c r="I1742" s="50">
        <v>42698</v>
      </c>
      <c r="J1742" s="51">
        <v>333354.01</v>
      </c>
    </row>
    <row r="1743" spans="1:10" s="15" customFormat="1" ht="33" outlineLevel="1" x14ac:dyDescent="0.25">
      <c r="A1743" s="766"/>
      <c r="B1743" s="771"/>
      <c r="C1743" s="110" t="s">
        <v>500</v>
      </c>
      <c r="D1743" s="73">
        <v>3503000</v>
      </c>
      <c r="E1743" s="52" t="s">
        <v>937</v>
      </c>
      <c r="F1743" s="91" t="s">
        <v>938</v>
      </c>
      <c r="G1743" s="74">
        <v>3203457.03</v>
      </c>
      <c r="H1743" s="75">
        <v>42643</v>
      </c>
      <c r="I1743" s="75">
        <v>42698</v>
      </c>
      <c r="J1743" s="52">
        <v>2940789.88</v>
      </c>
    </row>
    <row r="1744" spans="1:10" s="15" customFormat="1" ht="16.5" outlineLevel="1" x14ac:dyDescent="0.25">
      <c r="A1744" s="766"/>
      <c r="B1744" s="771"/>
      <c r="C1744" s="142" t="s">
        <v>508</v>
      </c>
      <c r="D1744" s="141">
        <v>1500000</v>
      </c>
      <c r="E1744" s="57"/>
      <c r="F1744" s="194"/>
      <c r="G1744" s="331"/>
      <c r="H1744" s="55">
        <v>42887</v>
      </c>
      <c r="I1744" s="56"/>
      <c r="J1744" s="57"/>
    </row>
    <row r="1745" spans="1:10" s="15" customFormat="1" ht="33" outlineLevel="1" x14ac:dyDescent="0.25">
      <c r="A1745" s="766"/>
      <c r="B1745" s="771"/>
      <c r="C1745" s="150" t="s">
        <v>37</v>
      </c>
      <c r="D1745" s="151">
        <v>75517.14</v>
      </c>
      <c r="E1745" s="155" t="s">
        <v>550</v>
      </c>
      <c r="F1745" s="152" t="s">
        <v>541</v>
      </c>
      <c r="G1745" s="153">
        <f>85683.6*1.18</f>
        <v>101106.648</v>
      </c>
      <c r="H1745" s="154">
        <v>42460</v>
      </c>
      <c r="I1745" s="154">
        <v>42593</v>
      </c>
      <c r="J1745" s="155">
        <v>75517.14</v>
      </c>
    </row>
    <row r="1746" spans="1:10" s="9" customFormat="1" ht="16.5" outlineLevel="1" x14ac:dyDescent="0.25">
      <c r="A1746" s="776"/>
      <c r="B1746" s="799"/>
      <c r="C1746" s="112" t="s">
        <v>1007</v>
      </c>
      <c r="D1746" s="89">
        <v>87376.2</v>
      </c>
      <c r="E1746" s="332"/>
      <c r="F1746" s="125"/>
      <c r="G1746" s="334"/>
      <c r="H1746" s="123"/>
      <c r="I1746" s="123"/>
      <c r="J1746" s="125"/>
    </row>
    <row r="1747" spans="1:10" s="15" customFormat="1" ht="18" outlineLevel="1" thickBot="1" x14ac:dyDescent="0.3">
      <c r="A1747" s="724" t="s">
        <v>628</v>
      </c>
      <c r="B1747" s="725"/>
      <c r="C1747" s="284"/>
      <c r="D1747" s="269">
        <f>SUM(D1742:D1746)</f>
        <v>5745893.3399999999</v>
      </c>
      <c r="E1747" s="404"/>
      <c r="F1747" s="404"/>
      <c r="G1747" s="333">
        <f>SUM(G1742:G1745)</f>
        <v>3786723.3279999997</v>
      </c>
      <c r="H1747" s="404"/>
      <c r="I1747" s="405"/>
      <c r="J1747" s="269">
        <f>SUM(J1742:J1745)</f>
        <v>3349661.03</v>
      </c>
    </row>
    <row r="1748" spans="1:10" s="10" customFormat="1" ht="31.5" customHeight="1" x14ac:dyDescent="0.25">
      <c r="A1748" s="765">
        <v>3</v>
      </c>
      <c r="B1748" s="852" t="s">
        <v>357</v>
      </c>
      <c r="C1748" s="48" t="s">
        <v>34</v>
      </c>
      <c r="D1748" s="48">
        <v>2668763.2400000002</v>
      </c>
      <c r="E1748" s="70" t="s">
        <v>937</v>
      </c>
      <c r="F1748" s="70" t="s">
        <v>938</v>
      </c>
      <c r="G1748" s="49">
        <v>2668763.2400000002</v>
      </c>
      <c r="H1748" s="50">
        <v>42612</v>
      </c>
      <c r="I1748" s="50">
        <v>42698</v>
      </c>
      <c r="J1748" s="51">
        <v>2387710.9700000002</v>
      </c>
    </row>
    <row r="1749" spans="1:10" s="15" customFormat="1" ht="33" outlineLevel="1" x14ac:dyDescent="0.25">
      <c r="A1749" s="766"/>
      <c r="B1749" s="853"/>
      <c r="C1749" s="73" t="s">
        <v>500</v>
      </c>
      <c r="D1749" s="73">
        <v>2944000</v>
      </c>
      <c r="E1749" s="91" t="s">
        <v>937</v>
      </c>
      <c r="F1749" s="91" t="s">
        <v>938</v>
      </c>
      <c r="G1749" s="74">
        <v>2744120.41</v>
      </c>
      <c r="H1749" s="75">
        <v>42643</v>
      </c>
      <c r="I1749" s="76">
        <v>42698</v>
      </c>
      <c r="J1749" s="52">
        <v>1998683.72</v>
      </c>
    </row>
    <row r="1750" spans="1:10" s="15" customFormat="1" ht="33" outlineLevel="1" x14ac:dyDescent="0.25">
      <c r="A1750" s="766"/>
      <c r="B1750" s="853"/>
      <c r="C1750" s="150" t="s">
        <v>37</v>
      </c>
      <c r="D1750" s="151">
        <v>121295.62</v>
      </c>
      <c r="E1750" s="155" t="s">
        <v>550</v>
      </c>
      <c r="F1750" s="152" t="s">
        <v>541</v>
      </c>
      <c r="G1750" s="153">
        <f>102891.84*1.18</f>
        <v>121412.37119999999</v>
      </c>
      <c r="H1750" s="154">
        <v>42460</v>
      </c>
      <c r="I1750" s="154">
        <v>42593</v>
      </c>
      <c r="J1750" s="155">
        <v>121295.62</v>
      </c>
    </row>
    <row r="1751" spans="1:10" s="9" customFormat="1" ht="16.5" outlineLevel="1" x14ac:dyDescent="0.25">
      <c r="A1751" s="776"/>
      <c r="B1751" s="774"/>
      <c r="C1751" s="112" t="s">
        <v>1007</v>
      </c>
      <c r="D1751" s="89">
        <v>120113.133336</v>
      </c>
      <c r="E1751" s="332"/>
      <c r="F1751" s="125"/>
      <c r="G1751" s="334"/>
      <c r="H1751" s="123"/>
      <c r="I1751" s="123"/>
      <c r="J1751" s="125"/>
    </row>
    <row r="1752" spans="1:10" s="15" customFormat="1" ht="18" outlineLevel="1" thickBot="1" x14ac:dyDescent="0.3">
      <c r="A1752" s="724" t="s">
        <v>628</v>
      </c>
      <c r="B1752" s="725"/>
      <c r="C1752" s="272"/>
      <c r="D1752" s="269">
        <f>SUM(D1748:D1751)</f>
        <v>5854171.9933360005</v>
      </c>
      <c r="E1752" s="404"/>
      <c r="F1752" s="404"/>
      <c r="G1752" s="333">
        <f>SUM(G1748:G1750)</f>
        <v>5534296.0212000003</v>
      </c>
      <c r="H1752" s="404"/>
      <c r="I1752" s="405"/>
      <c r="J1752" s="269">
        <f>SUM(J1748:J1750)</f>
        <v>4507690.3100000005</v>
      </c>
    </row>
    <row r="1753" spans="1:10" s="10" customFormat="1" ht="31.5" customHeight="1" x14ac:dyDescent="0.25">
      <c r="A1753" s="765">
        <v>4</v>
      </c>
      <c r="B1753" s="852" t="s">
        <v>358</v>
      </c>
      <c r="C1753" s="406" t="s">
        <v>35</v>
      </c>
      <c r="D1753" s="406">
        <v>465645.48</v>
      </c>
      <c r="E1753" s="353" t="s">
        <v>937</v>
      </c>
      <c r="F1753" s="353" t="s">
        <v>938</v>
      </c>
      <c r="G1753" s="407">
        <v>465645.48</v>
      </c>
      <c r="H1753" s="358">
        <v>42612</v>
      </c>
      <c r="I1753" s="358">
        <v>42698</v>
      </c>
      <c r="J1753" s="354">
        <v>313364.55</v>
      </c>
    </row>
    <row r="1754" spans="1:10" s="15" customFormat="1" ht="33" outlineLevel="1" x14ac:dyDescent="0.25">
      <c r="A1754" s="766"/>
      <c r="B1754" s="853"/>
      <c r="C1754" s="408" t="s">
        <v>36</v>
      </c>
      <c r="D1754" s="408">
        <v>590000</v>
      </c>
      <c r="E1754" s="350" t="s">
        <v>937</v>
      </c>
      <c r="F1754" s="349" t="s">
        <v>938</v>
      </c>
      <c r="G1754" s="409">
        <v>495013.31</v>
      </c>
      <c r="H1754" s="351">
        <v>42612</v>
      </c>
      <c r="I1754" s="351">
        <v>42698</v>
      </c>
      <c r="J1754" s="350">
        <v>312130.61</v>
      </c>
    </row>
    <row r="1755" spans="1:10" s="15" customFormat="1" ht="16.5" outlineLevel="1" x14ac:dyDescent="0.25">
      <c r="A1755" s="766"/>
      <c r="B1755" s="853"/>
      <c r="C1755" s="141" t="s">
        <v>505</v>
      </c>
      <c r="D1755" s="141">
        <v>1100000</v>
      </c>
      <c r="E1755" s="57"/>
      <c r="F1755" s="194"/>
      <c r="G1755" s="331"/>
      <c r="H1755" s="55">
        <v>42887</v>
      </c>
      <c r="I1755" s="56"/>
      <c r="J1755" s="57"/>
    </row>
    <row r="1756" spans="1:10" s="15" customFormat="1" ht="33" outlineLevel="1" x14ac:dyDescent="0.25">
      <c r="A1756" s="766"/>
      <c r="B1756" s="853"/>
      <c r="C1756" s="150" t="s">
        <v>37</v>
      </c>
      <c r="D1756" s="151">
        <v>69506.009999999995</v>
      </c>
      <c r="E1756" s="155" t="s">
        <v>550</v>
      </c>
      <c r="F1756" s="152" t="s">
        <v>541</v>
      </c>
      <c r="G1756" s="153">
        <f>80518.27*1.18</f>
        <v>95011.558600000004</v>
      </c>
      <c r="H1756" s="154">
        <v>42460</v>
      </c>
      <c r="I1756" s="154">
        <v>42593</v>
      </c>
      <c r="J1756" s="155">
        <v>69506.009999999995</v>
      </c>
    </row>
    <row r="1757" spans="1:10" s="9" customFormat="1" ht="16.5" outlineLevel="1" x14ac:dyDescent="0.25">
      <c r="A1757" s="776"/>
      <c r="B1757" s="774"/>
      <c r="C1757" s="112" t="s">
        <v>1007</v>
      </c>
      <c r="D1757" s="89">
        <v>22590.813271999999</v>
      </c>
      <c r="E1757" s="332"/>
      <c r="F1757" s="125"/>
      <c r="G1757" s="334"/>
      <c r="H1757" s="123"/>
      <c r="I1757" s="123"/>
      <c r="J1757" s="125"/>
    </row>
    <row r="1758" spans="1:10" s="15" customFormat="1" ht="18" outlineLevel="1" thickBot="1" x14ac:dyDescent="0.3">
      <c r="A1758" s="686" t="s">
        <v>628</v>
      </c>
      <c r="B1758" s="687"/>
      <c r="C1758" s="223"/>
      <c r="D1758" s="222">
        <f>SUM(D1753:D1757)</f>
        <v>2247742.3032719996</v>
      </c>
      <c r="E1758" s="402"/>
      <c r="F1758" s="402"/>
      <c r="G1758" s="323">
        <f>SUM(G1753:G1756)</f>
        <v>1055670.3486000001</v>
      </c>
      <c r="H1758" s="402"/>
      <c r="I1758" s="403"/>
      <c r="J1758" s="222">
        <f>SUM(J1753:J1756)</f>
        <v>695001.16999999993</v>
      </c>
    </row>
    <row r="1759" spans="1:10" s="10" customFormat="1" ht="15" customHeight="1" x14ac:dyDescent="0.25">
      <c r="A1759" s="765">
        <v>5</v>
      </c>
      <c r="B1759" s="770" t="s">
        <v>360</v>
      </c>
      <c r="C1759" s="324" t="s">
        <v>500</v>
      </c>
      <c r="D1759" s="325">
        <v>867000</v>
      </c>
      <c r="E1759" s="81" t="s">
        <v>937</v>
      </c>
      <c r="F1759" s="81" t="s">
        <v>938</v>
      </c>
      <c r="G1759" s="327">
        <v>567160.59</v>
      </c>
      <c r="H1759" s="83">
        <v>42643</v>
      </c>
      <c r="I1759" s="83"/>
      <c r="J1759" s="410"/>
    </row>
    <row r="1760" spans="1:10" s="15" customFormat="1" ht="33" outlineLevel="1" x14ac:dyDescent="0.25">
      <c r="A1760" s="766"/>
      <c r="B1760" s="771"/>
      <c r="C1760" s="150" t="s">
        <v>37</v>
      </c>
      <c r="D1760" s="151">
        <v>59969.54</v>
      </c>
      <c r="E1760" s="155" t="s">
        <v>550</v>
      </c>
      <c r="F1760" s="152" t="s">
        <v>541</v>
      </c>
      <c r="G1760" s="153">
        <f>50870.56*1.18</f>
        <v>60027.260799999996</v>
      </c>
      <c r="H1760" s="154">
        <v>42460</v>
      </c>
      <c r="I1760" s="154">
        <v>42593</v>
      </c>
      <c r="J1760" s="155">
        <v>59969.54</v>
      </c>
    </row>
    <row r="1761" spans="1:10" s="9" customFormat="1" ht="16.5" outlineLevel="1" x14ac:dyDescent="0.25">
      <c r="A1761" s="776"/>
      <c r="B1761" s="799"/>
      <c r="C1761" s="112" t="s">
        <v>1007</v>
      </c>
      <c r="D1761" s="89">
        <v>18553.8</v>
      </c>
      <c r="E1761" s="332"/>
      <c r="F1761" s="125"/>
      <c r="G1761" s="334"/>
      <c r="H1761" s="123"/>
      <c r="I1761" s="123"/>
      <c r="J1761" s="125"/>
    </row>
    <row r="1762" spans="1:10" s="15" customFormat="1" ht="18" outlineLevel="1" thickBot="1" x14ac:dyDescent="0.3">
      <c r="A1762" s="686" t="s">
        <v>628</v>
      </c>
      <c r="B1762" s="687"/>
      <c r="C1762" s="223"/>
      <c r="D1762" s="222">
        <f>SUM(D1759:D1761)</f>
        <v>945523.34000000008</v>
      </c>
      <c r="E1762" s="402"/>
      <c r="F1762" s="402"/>
      <c r="G1762" s="323">
        <f>SUM(G1759:G1760)</f>
        <v>627187.85080000001</v>
      </c>
      <c r="H1762" s="402"/>
      <c r="I1762" s="403"/>
      <c r="J1762" s="222">
        <f>SUM(J1759:J1760)</f>
        <v>59969.54</v>
      </c>
    </row>
    <row r="1763" spans="1:10" s="10" customFormat="1" ht="33" x14ac:dyDescent="0.25">
      <c r="A1763" s="765">
        <v>6</v>
      </c>
      <c r="B1763" s="770" t="s">
        <v>361</v>
      </c>
      <c r="C1763" s="109" t="s">
        <v>500</v>
      </c>
      <c r="D1763" s="48">
        <v>4665864.95</v>
      </c>
      <c r="E1763" s="70" t="s">
        <v>997</v>
      </c>
      <c r="F1763" s="70" t="s">
        <v>721</v>
      </c>
      <c r="G1763" s="49">
        <v>4665864.95</v>
      </c>
      <c r="H1763" s="50">
        <v>42672</v>
      </c>
      <c r="I1763" s="50">
        <v>42695</v>
      </c>
      <c r="J1763" s="51">
        <v>3047298.15</v>
      </c>
    </row>
    <row r="1764" spans="1:10" s="15" customFormat="1" ht="33" outlineLevel="1" x14ac:dyDescent="0.25">
      <c r="A1764" s="766"/>
      <c r="B1764" s="771"/>
      <c r="C1764" s="150" t="s">
        <v>37</v>
      </c>
      <c r="D1764" s="151">
        <v>106949.39</v>
      </c>
      <c r="E1764" s="155" t="s">
        <v>550</v>
      </c>
      <c r="F1764" s="152" t="s">
        <v>541</v>
      </c>
      <c r="G1764" s="153">
        <f>90722.32*1.18</f>
        <v>107052.3376</v>
      </c>
      <c r="H1764" s="154">
        <v>42460</v>
      </c>
      <c r="I1764" s="154">
        <v>42593</v>
      </c>
      <c r="J1764" s="155">
        <v>106949.39000000001</v>
      </c>
    </row>
    <row r="1765" spans="1:10" s="9" customFormat="1" ht="16.5" outlineLevel="1" x14ac:dyDescent="0.25">
      <c r="A1765" s="776"/>
      <c r="B1765" s="799"/>
      <c r="C1765" s="112" t="s">
        <v>1007</v>
      </c>
      <c r="D1765" s="89">
        <v>99849.50993</v>
      </c>
      <c r="E1765" s="332"/>
      <c r="F1765" s="125"/>
      <c r="G1765" s="334"/>
      <c r="H1765" s="123"/>
      <c r="I1765" s="123"/>
      <c r="J1765" s="125"/>
    </row>
    <row r="1766" spans="1:10" s="15" customFormat="1" ht="18" outlineLevel="1" thickBot="1" x14ac:dyDescent="0.3">
      <c r="A1766" s="686" t="s">
        <v>628</v>
      </c>
      <c r="B1766" s="687"/>
      <c r="C1766" s="223"/>
      <c r="D1766" s="222">
        <f>SUM(D1763:D1765)</f>
        <v>4872663.8499299996</v>
      </c>
      <c r="E1766" s="402"/>
      <c r="F1766" s="402"/>
      <c r="G1766" s="323">
        <f>SUM(G1763:G1764)</f>
        <v>4772917.2876000004</v>
      </c>
      <c r="H1766" s="402"/>
      <c r="I1766" s="403"/>
      <c r="J1766" s="222">
        <f>SUM(J1763:J1764)</f>
        <v>3154247.54</v>
      </c>
    </row>
    <row r="1767" spans="1:10" s="10" customFormat="1" ht="33.75" customHeight="1" x14ac:dyDescent="0.25">
      <c r="A1767" s="411">
        <v>7</v>
      </c>
      <c r="B1767" s="412" t="s">
        <v>364</v>
      </c>
      <c r="C1767" s="324" t="s">
        <v>501</v>
      </c>
      <c r="D1767" s="325">
        <v>5392130</v>
      </c>
      <c r="E1767" s="413"/>
      <c r="F1767" s="413"/>
      <c r="G1767" s="327"/>
      <c r="H1767" s="83">
        <v>42887</v>
      </c>
      <c r="I1767" s="414"/>
      <c r="J1767" s="410"/>
    </row>
    <row r="1768" spans="1:10" s="15" customFormat="1" ht="18" outlineLevel="1" thickBot="1" x14ac:dyDescent="0.3">
      <c r="A1768" s="724" t="s">
        <v>628</v>
      </c>
      <c r="B1768" s="725"/>
      <c r="C1768" s="272"/>
      <c r="D1768" s="222">
        <f>SUM(D1767:D1767)</f>
        <v>5392130</v>
      </c>
      <c r="E1768" s="404"/>
      <c r="F1768" s="404"/>
      <c r="G1768" s="323">
        <f>SUM(G1767:G1767)</f>
        <v>0</v>
      </c>
      <c r="H1768" s="404"/>
      <c r="I1768" s="405"/>
      <c r="J1768" s="415"/>
    </row>
    <row r="1769" spans="1:10" s="10" customFormat="1" ht="33" x14ac:dyDescent="0.25">
      <c r="A1769" s="765">
        <v>8</v>
      </c>
      <c r="B1769" s="770" t="s">
        <v>362</v>
      </c>
      <c r="C1769" s="109" t="s">
        <v>500</v>
      </c>
      <c r="D1769" s="48">
        <v>1965561.06</v>
      </c>
      <c r="E1769" s="70" t="s">
        <v>997</v>
      </c>
      <c r="F1769" s="70" t="s">
        <v>721</v>
      </c>
      <c r="G1769" s="49">
        <v>1965561.06</v>
      </c>
      <c r="H1769" s="50">
        <v>42645</v>
      </c>
      <c r="I1769" s="50">
        <v>42695</v>
      </c>
      <c r="J1769" s="51">
        <v>1129804.26</v>
      </c>
    </row>
    <row r="1770" spans="1:10" s="15" customFormat="1" ht="33" outlineLevel="1" x14ac:dyDescent="0.25">
      <c r="A1770" s="766"/>
      <c r="B1770" s="771"/>
      <c r="C1770" s="150" t="s">
        <v>37</v>
      </c>
      <c r="D1770" s="151">
        <v>72137.48</v>
      </c>
      <c r="E1770" s="155" t="s">
        <v>550</v>
      </c>
      <c r="F1770" s="152" t="s">
        <v>541</v>
      </c>
      <c r="G1770" s="153">
        <f>61192.3*1.18</f>
        <v>72206.914000000004</v>
      </c>
      <c r="H1770" s="154">
        <v>42460</v>
      </c>
      <c r="I1770" s="154">
        <v>42593</v>
      </c>
      <c r="J1770" s="155">
        <v>72137.48000000001</v>
      </c>
    </row>
    <row r="1771" spans="1:10" s="9" customFormat="1" ht="16.5" outlineLevel="1" x14ac:dyDescent="0.25">
      <c r="A1771" s="776"/>
      <c r="B1771" s="799"/>
      <c r="C1771" s="112" t="s">
        <v>1007</v>
      </c>
      <c r="D1771" s="89">
        <v>42063.006684</v>
      </c>
      <c r="E1771" s="332"/>
      <c r="F1771" s="125"/>
      <c r="G1771" s="334"/>
      <c r="H1771" s="123"/>
      <c r="I1771" s="123"/>
      <c r="J1771" s="125"/>
    </row>
    <row r="1772" spans="1:10" s="15" customFormat="1" ht="18" outlineLevel="1" thickBot="1" x14ac:dyDescent="0.3">
      <c r="A1772" s="686" t="s">
        <v>628</v>
      </c>
      <c r="B1772" s="687"/>
      <c r="C1772" s="223"/>
      <c r="D1772" s="222">
        <f>SUM(D1769:D1771)</f>
        <v>2079761.5466839999</v>
      </c>
      <c r="E1772" s="402"/>
      <c r="F1772" s="402"/>
      <c r="G1772" s="323">
        <f>SUM(G1769:G1770)</f>
        <v>2037767.9740000002</v>
      </c>
      <c r="H1772" s="402"/>
      <c r="I1772" s="403"/>
      <c r="J1772" s="222">
        <f>SUM(J1769:J1770)</f>
        <v>1201941.74</v>
      </c>
    </row>
    <row r="1773" spans="1:10" s="10" customFormat="1" ht="31.5" customHeight="1" x14ac:dyDescent="0.25">
      <c r="A1773" s="765">
        <v>9</v>
      </c>
      <c r="B1773" s="770" t="s">
        <v>363</v>
      </c>
      <c r="C1773" s="109" t="s">
        <v>500</v>
      </c>
      <c r="D1773" s="48">
        <v>2248573.9900000002</v>
      </c>
      <c r="E1773" s="70" t="s">
        <v>997</v>
      </c>
      <c r="F1773" s="70" t="s">
        <v>721</v>
      </c>
      <c r="G1773" s="49">
        <v>2248573.9900000002</v>
      </c>
      <c r="H1773" s="50">
        <v>42672</v>
      </c>
      <c r="I1773" s="50">
        <v>42695</v>
      </c>
      <c r="J1773" s="51">
        <v>1433220.55</v>
      </c>
    </row>
    <row r="1774" spans="1:10" s="15" customFormat="1" ht="33" outlineLevel="1" x14ac:dyDescent="0.25">
      <c r="A1774" s="766"/>
      <c r="B1774" s="771"/>
      <c r="C1774" s="150" t="s">
        <v>37</v>
      </c>
      <c r="D1774" s="151">
        <v>74223.23</v>
      </c>
      <c r="E1774" s="155" t="s">
        <v>550</v>
      </c>
      <c r="F1774" s="152" t="s">
        <v>541</v>
      </c>
      <c r="G1774" s="153">
        <f>62961.58*1.18</f>
        <v>74294.664399999994</v>
      </c>
      <c r="H1774" s="154">
        <v>42460</v>
      </c>
      <c r="I1774" s="154">
        <v>42593</v>
      </c>
      <c r="J1774" s="155">
        <v>74223.23</v>
      </c>
    </row>
    <row r="1775" spans="1:10" s="9" customFormat="1" ht="16.5" outlineLevel="1" x14ac:dyDescent="0.25">
      <c r="A1775" s="776"/>
      <c r="B1775" s="799"/>
      <c r="C1775" s="112" t="s">
        <v>1007</v>
      </c>
      <c r="D1775" s="89">
        <v>48119.483386</v>
      </c>
      <c r="E1775" s="332"/>
      <c r="F1775" s="125"/>
      <c r="G1775" s="334"/>
      <c r="H1775" s="123"/>
      <c r="I1775" s="123"/>
      <c r="J1775" s="125"/>
    </row>
    <row r="1776" spans="1:10" s="15" customFormat="1" ht="18" outlineLevel="1" thickBot="1" x14ac:dyDescent="0.3">
      <c r="A1776" s="686" t="s">
        <v>628</v>
      </c>
      <c r="B1776" s="687"/>
      <c r="C1776" s="223"/>
      <c r="D1776" s="222">
        <f>SUM(D1773:D1775)</f>
        <v>2370916.7033860004</v>
      </c>
      <c r="E1776" s="402"/>
      <c r="F1776" s="402"/>
      <c r="G1776" s="323">
        <f>SUM(G1773:G1774)</f>
        <v>2322868.6544000003</v>
      </c>
      <c r="H1776" s="402"/>
      <c r="I1776" s="403"/>
      <c r="J1776" s="222">
        <f>SUM(J1773:J1774)</f>
        <v>1507443.78</v>
      </c>
    </row>
    <row r="1777" spans="1:10" s="7" customFormat="1" ht="19.5" customHeight="1" outlineLevel="1" thickBot="1" x14ac:dyDescent="0.3">
      <c r="A1777" s="196"/>
      <c r="B1777" s="783" t="s">
        <v>1008</v>
      </c>
      <c r="C1777" s="784"/>
      <c r="D1777" s="197">
        <v>1437920.02</v>
      </c>
      <c r="E1777" s="198"/>
      <c r="F1777" s="199"/>
      <c r="G1777" s="200">
        <f>SUM(G1778:G1785)</f>
        <v>1437920.03</v>
      </c>
      <c r="H1777" s="201"/>
      <c r="I1777" s="202"/>
      <c r="J1777" s="200">
        <f>SUM(J1778:J1785)</f>
        <v>1437920.02</v>
      </c>
    </row>
    <row r="1778" spans="1:10" s="23" customFormat="1" ht="36.75" customHeight="1" outlineLevel="1" x14ac:dyDescent="0.25">
      <c r="A1778" s="546"/>
      <c r="B1778" s="547" t="s">
        <v>1297</v>
      </c>
      <c r="C1778" s="526" t="s">
        <v>37</v>
      </c>
      <c r="D1778" s="536"/>
      <c r="E1778" s="709" t="s">
        <v>1305</v>
      </c>
      <c r="F1778" s="711" t="s">
        <v>933</v>
      </c>
      <c r="G1778" s="104">
        <v>126471.6</v>
      </c>
      <c r="H1778" s="677">
        <v>42760</v>
      </c>
      <c r="I1778" s="675">
        <v>42815</v>
      </c>
      <c r="J1778" s="104">
        <v>126471.6</v>
      </c>
    </row>
    <row r="1779" spans="1:10" s="23" customFormat="1" ht="30" customHeight="1" outlineLevel="1" x14ac:dyDescent="0.25">
      <c r="A1779" s="540"/>
      <c r="B1779" s="548" t="s">
        <v>1298</v>
      </c>
      <c r="C1779" s="530" t="s">
        <v>37</v>
      </c>
      <c r="D1779" s="186"/>
      <c r="E1779" s="712"/>
      <c r="F1779" s="693"/>
      <c r="G1779" s="73">
        <v>119570.96</v>
      </c>
      <c r="H1779" s="816"/>
      <c r="I1779" s="678"/>
      <c r="J1779" s="73">
        <v>119570.96</v>
      </c>
    </row>
    <row r="1780" spans="1:10" s="23" customFormat="1" ht="29.25" customHeight="1" outlineLevel="1" x14ac:dyDescent="0.25">
      <c r="A1780" s="540"/>
      <c r="B1780" s="548" t="s">
        <v>1299</v>
      </c>
      <c r="C1780" s="530" t="s">
        <v>37</v>
      </c>
      <c r="D1780" s="186"/>
      <c r="E1780" s="712"/>
      <c r="F1780" s="693"/>
      <c r="G1780" s="73">
        <v>119729.48</v>
      </c>
      <c r="H1780" s="816"/>
      <c r="I1780" s="678"/>
      <c r="J1780" s="73">
        <v>119729.48</v>
      </c>
    </row>
    <row r="1781" spans="1:10" s="23" customFormat="1" ht="29.25" customHeight="1" outlineLevel="1" x14ac:dyDescent="0.25">
      <c r="A1781" s="540"/>
      <c r="B1781" s="548" t="s">
        <v>1300</v>
      </c>
      <c r="C1781" s="530" t="s">
        <v>37</v>
      </c>
      <c r="D1781" s="186"/>
      <c r="E1781" s="712"/>
      <c r="F1781" s="693"/>
      <c r="G1781" s="73">
        <v>119878.68</v>
      </c>
      <c r="H1781" s="816"/>
      <c r="I1781" s="678"/>
      <c r="J1781" s="73">
        <v>119878.68</v>
      </c>
    </row>
    <row r="1782" spans="1:10" s="23" customFormat="1" ht="33" outlineLevel="1" x14ac:dyDescent="0.25">
      <c r="A1782" s="540"/>
      <c r="B1782" s="548" t="s">
        <v>1301</v>
      </c>
      <c r="C1782" s="530" t="s">
        <v>37</v>
      </c>
      <c r="D1782" s="186"/>
      <c r="E1782" s="712"/>
      <c r="F1782" s="693"/>
      <c r="G1782" s="73">
        <v>118759.45</v>
      </c>
      <c r="H1782" s="816"/>
      <c r="I1782" s="678"/>
      <c r="J1782" s="73">
        <v>118759.45</v>
      </c>
    </row>
    <row r="1783" spans="1:10" s="23" customFormat="1" ht="28.5" customHeight="1" outlineLevel="1" x14ac:dyDescent="0.25">
      <c r="A1783" s="540"/>
      <c r="B1783" s="548" t="s">
        <v>1302</v>
      </c>
      <c r="C1783" s="530" t="s">
        <v>37</v>
      </c>
      <c r="D1783" s="186"/>
      <c r="E1783" s="712"/>
      <c r="F1783" s="693"/>
      <c r="G1783" s="73">
        <v>270220.83</v>
      </c>
      <c r="H1783" s="816"/>
      <c r="I1783" s="678"/>
      <c r="J1783" s="73">
        <v>270220.83</v>
      </c>
    </row>
    <row r="1784" spans="1:10" s="23" customFormat="1" ht="27" customHeight="1" outlineLevel="1" x14ac:dyDescent="0.25">
      <c r="A1784" s="540"/>
      <c r="B1784" s="548" t="s">
        <v>1303</v>
      </c>
      <c r="C1784" s="530" t="s">
        <v>37</v>
      </c>
      <c r="D1784" s="186"/>
      <c r="E1784" s="712"/>
      <c r="F1784" s="693"/>
      <c r="G1784" s="73">
        <v>281329.78000000003</v>
      </c>
      <c r="H1784" s="816"/>
      <c r="I1784" s="678"/>
      <c r="J1784" s="73">
        <v>281329.78000000003</v>
      </c>
    </row>
    <row r="1785" spans="1:10" s="23" customFormat="1" ht="29.25" customHeight="1" outlineLevel="1" thickBot="1" x14ac:dyDescent="0.3">
      <c r="A1785" s="549"/>
      <c r="B1785" s="550" t="s">
        <v>1304</v>
      </c>
      <c r="C1785" s="531" t="s">
        <v>37</v>
      </c>
      <c r="D1785" s="537"/>
      <c r="E1785" s="707"/>
      <c r="F1785" s="694"/>
      <c r="G1785" s="127">
        <v>281959.25</v>
      </c>
      <c r="H1785" s="713"/>
      <c r="I1785" s="680"/>
      <c r="J1785" s="127">
        <v>281959.24</v>
      </c>
    </row>
    <row r="1786" spans="1:10" s="15" customFormat="1" ht="18" outlineLevel="1" thickBot="1" x14ac:dyDescent="0.3">
      <c r="A1786" s="738" t="s">
        <v>629</v>
      </c>
      <c r="B1786" s="739"/>
      <c r="C1786" s="416"/>
      <c r="D1786" s="204">
        <f>SUM(D1776,D1772,D1768,D1766,D1762,D1758,D1752,D1747,D1741,D1777)</f>
        <v>39488115.726461999</v>
      </c>
      <c r="E1786" s="417"/>
      <c r="F1786" s="417"/>
      <c r="G1786" s="204">
        <f>SUM(G1776,G1772,G1768,G1766,G1762,G1758,G1752,G1747,G1741,G1777)</f>
        <v>29841218.575000007</v>
      </c>
      <c r="H1786" s="417"/>
      <c r="I1786" s="418"/>
      <c r="J1786" s="203">
        <f>SUM(J1777,J1776,J1772,J1768,J1766,J1762,J1758,J1752,J1747,J1741)</f>
        <v>23795920.039999999</v>
      </c>
    </row>
    <row r="1787" spans="1:10" s="10" customFormat="1" ht="25.5" customHeight="1" thickBot="1" x14ac:dyDescent="0.3">
      <c r="A1787" s="803" t="s">
        <v>661</v>
      </c>
      <c r="B1787" s="804"/>
      <c r="C1787" s="804"/>
      <c r="D1787" s="804"/>
      <c r="E1787" s="804"/>
      <c r="F1787" s="804"/>
      <c r="G1787" s="804"/>
      <c r="H1787" s="804"/>
      <c r="I1787" s="804"/>
      <c r="J1787" s="804"/>
    </row>
    <row r="1788" spans="1:10" s="5" customFormat="1" ht="31.5" customHeight="1" x14ac:dyDescent="0.25">
      <c r="A1788" s="776">
        <v>1</v>
      </c>
      <c r="B1788" s="799" t="s">
        <v>365</v>
      </c>
      <c r="C1788" s="337" t="s">
        <v>500</v>
      </c>
      <c r="D1788" s="104">
        <v>6695398.96</v>
      </c>
      <c r="E1788" s="328" t="s">
        <v>734</v>
      </c>
      <c r="F1788" s="107" t="s">
        <v>733</v>
      </c>
      <c r="G1788" s="106">
        <v>6700000</v>
      </c>
      <c r="H1788" s="76">
        <v>42546</v>
      </c>
      <c r="I1788" s="76">
        <v>42542</v>
      </c>
      <c r="J1788" s="107">
        <v>6695398.96</v>
      </c>
    </row>
    <row r="1789" spans="1:10" s="7" customFormat="1" ht="33" outlineLevel="1" x14ac:dyDescent="0.25">
      <c r="A1789" s="768"/>
      <c r="B1789" s="764"/>
      <c r="C1789" s="150" t="s">
        <v>37</v>
      </c>
      <c r="D1789" s="151">
        <v>112263.39</v>
      </c>
      <c r="E1789" s="320" t="s">
        <v>619</v>
      </c>
      <c r="F1789" s="155" t="s">
        <v>614</v>
      </c>
      <c r="G1789" s="153">
        <f>95138.47*1.18</f>
        <v>112263.3946</v>
      </c>
      <c r="H1789" s="154">
        <v>42429</v>
      </c>
      <c r="I1789" s="154">
        <v>42495</v>
      </c>
      <c r="J1789" s="155">
        <v>112263.39</v>
      </c>
    </row>
    <row r="1790" spans="1:10" s="7" customFormat="1" ht="17.25" outlineLevel="1" thickBot="1" x14ac:dyDescent="0.3">
      <c r="A1790" s="686" t="s">
        <v>628</v>
      </c>
      <c r="B1790" s="687"/>
      <c r="C1790" s="321"/>
      <c r="D1790" s="222">
        <f>SUM(D1788:D1789)</f>
        <v>6807662.3499999996</v>
      </c>
      <c r="E1790" s="322"/>
      <c r="F1790" s="310"/>
      <c r="G1790" s="323">
        <f>SUM(G1788:G1789)</f>
        <v>6812263.3946000002</v>
      </c>
      <c r="H1790" s="124"/>
      <c r="I1790" s="130"/>
      <c r="J1790" s="222">
        <f t="shared" ref="J1790" si="41">SUM(J1788:J1789)</f>
        <v>6807662.3499999996</v>
      </c>
    </row>
    <row r="1791" spans="1:10" s="5" customFormat="1" ht="31.5" customHeight="1" x14ac:dyDescent="0.25">
      <c r="A1791" s="767">
        <v>2</v>
      </c>
      <c r="B1791" s="769" t="s">
        <v>366</v>
      </c>
      <c r="C1791" s="109" t="s">
        <v>500</v>
      </c>
      <c r="D1791" s="48">
        <v>6668965.4699999997</v>
      </c>
      <c r="E1791" s="335" t="s">
        <v>732</v>
      </c>
      <c r="F1791" s="51" t="s">
        <v>733</v>
      </c>
      <c r="G1791" s="49">
        <v>6670000</v>
      </c>
      <c r="H1791" s="50">
        <v>42546</v>
      </c>
      <c r="I1791" s="50">
        <v>42545</v>
      </c>
      <c r="J1791" s="51">
        <v>6668965.4700000007</v>
      </c>
    </row>
    <row r="1792" spans="1:10" s="7" customFormat="1" ht="33" outlineLevel="1" x14ac:dyDescent="0.25">
      <c r="A1792" s="768"/>
      <c r="B1792" s="764"/>
      <c r="C1792" s="150" t="s">
        <v>37</v>
      </c>
      <c r="D1792" s="151">
        <v>115159.78</v>
      </c>
      <c r="E1792" s="320" t="s">
        <v>619</v>
      </c>
      <c r="F1792" s="155" t="s">
        <v>614</v>
      </c>
      <c r="G1792" s="153">
        <f>97593.03*1.18</f>
        <v>115159.7754</v>
      </c>
      <c r="H1792" s="154">
        <v>42429</v>
      </c>
      <c r="I1792" s="154">
        <v>42495</v>
      </c>
      <c r="J1792" s="155">
        <v>115159.78</v>
      </c>
    </row>
    <row r="1793" spans="1:10" s="7" customFormat="1" ht="15" customHeight="1" outlineLevel="1" thickBot="1" x14ac:dyDescent="0.3">
      <c r="A1793" s="724" t="s">
        <v>628</v>
      </c>
      <c r="B1793" s="725"/>
      <c r="C1793" s="284"/>
      <c r="D1793" s="222">
        <f>SUM(D1791:D1792)</f>
        <v>6784125.25</v>
      </c>
      <c r="E1793" s="332"/>
      <c r="F1793" s="125"/>
      <c r="G1793" s="323">
        <f>SUM(G1791:G1792)</f>
        <v>6785159.7753999997</v>
      </c>
      <c r="H1793" s="123"/>
      <c r="I1793" s="108"/>
      <c r="J1793" s="222">
        <f t="shared" ref="J1793" si="42">SUM(J1791:J1792)</f>
        <v>6784125.2500000009</v>
      </c>
    </row>
    <row r="1794" spans="1:10" s="25" customFormat="1" ht="31.5" customHeight="1" x14ac:dyDescent="0.25">
      <c r="A1794" s="765">
        <v>3</v>
      </c>
      <c r="B1794" s="770" t="s">
        <v>367</v>
      </c>
      <c r="C1794" s="109" t="s">
        <v>500</v>
      </c>
      <c r="D1794" s="48">
        <v>4729867.16</v>
      </c>
      <c r="E1794" s="335" t="s">
        <v>1000</v>
      </c>
      <c r="F1794" s="51" t="s">
        <v>743</v>
      </c>
      <c r="G1794" s="49">
        <v>4729867.16</v>
      </c>
      <c r="H1794" s="50">
        <v>42674</v>
      </c>
      <c r="I1794" s="50">
        <v>42727</v>
      </c>
      <c r="J1794" s="51">
        <v>4302952.5999999996</v>
      </c>
    </row>
    <row r="1795" spans="1:10" s="7" customFormat="1" ht="33" outlineLevel="1" x14ac:dyDescent="0.25">
      <c r="A1795" s="766"/>
      <c r="B1795" s="771"/>
      <c r="C1795" s="150" t="s">
        <v>37</v>
      </c>
      <c r="D1795" s="151">
        <v>111424.93</v>
      </c>
      <c r="E1795" s="320" t="s">
        <v>619</v>
      </c>
      <c r="F1795" s="155" t="s">
        <v>614</v>
      </c>
      <c r="G1795" s="153">
        <f>94427.91*1.18</f>
        <v>111424.9338</v>
      </c>
      <c r="H1795" s="154">
        <v>42429</v>
      </c>
      <c r="I1795" s="154">
        <v>42495</v>
      </c>
      <c r="J1795" s="155">
        <v>111424.93</v>
      </c>
    </row>
    <row r="1796" spans="1:10" s="9" customFormat="1" ht="16.5" outlineLevel="1" x14ac:dyDescent="0.25">
      <c r="A1796" s="776"/>
      <c r="B1796" s="799"/>
      <c r="C1796" s="112" t="s">
        <v>1007</v>
      </c>
      <c r="D1796" s="89">
        <v>33223.012414044402</v>
      </c>
      <c r="E1796" s="332"/>
      <c r="F1796" s="125"/>
      <c r="G1796" s="334"/>
      <c r="H1796" s="123"/>
      <c r="I1796" s="123"/>
      <c r="J1796" s="125"/>
    </row>
    <row r="1797" spans="1:10" s="7" customFormat="1" ht="17.25" outlineLevel="1" thickBot="1" x14ac:dyDescent="0.3">
      <c r="A1797" s="686" t="s">
        <v>628</v>
      </c>
      <c r="B1797" s="687"/>
      <c r="C1797" s="321"/>
      <c r="D1797" s="222">
        <f>SUM(D1794:D1796)</f>
        <v>4874515.1024140446</v>
      </c>
      <c r="E1797" s="322"/>
      <c r="F1797" s="310"/>
      <c r="G1797" s="323">
        <f>SUM(G1794:G1795)</f>
        <v>4841292.0937999999</v>
      </c>
      <c r="H1797" s="124"/>
      <c r="I1797" s="130"/>
      <c r="J1797" s="222">
        <f>SUM(J1794:J1795)</f>
        <v>4414377.5299999993</v>
      </c>
    </row>
    <row r="1798" spans="1:10" s="5" customFormat="1" ht="31.5" customHeight="1" x14ac:dyDescent="0.25">
      <c r="A1798" s="765">
        <v>4</v>
      </c>
      <c r="B1798" s="770" t="s">
        <v>368</v>
      </c>
      <c r="C1798" s="109" t="s">
        <v>500</v>
      </c>
      <c r="D1798" s="48">
        <v>3915243.54</v>
      </c>
      <c r="E1798" s="335" t="s">
        <v>974</v>
      </c>
      <c r="F1798" s="51" t="s">
        <v>743</v>
      </c>
      <c r="G1798" s="49">
        <v>3915243.54</v>
      </c>
      <c r="H1798" s="50">
        <v>42660</v>
      </c>
      <c r="I1798" s="50">
        <v>42704</v>
      </c>
      <c r="J1798" s="51">
        <v>3478304.88</v>
      </c>
    </row>
    <row r="1799" spans="1:10" s="7" customFormat="1" ht="33" outlineLevel="1" x14ac:dyDescent="0.25">
      <c r="A1799" s="766"/>
      <c r="B1799" s="771"/>
      <c r="C1799" s="150" t="s">
        <v>37</v>
      </c>
      <c r="D1799" s="151">
        <v>83192.009999999995</v>
      </c>
      <c r="E1799" s="320" t="s">
        <v>619</v>
      </c>
      <c r="F1799" s="155" t="s">
        <v>614</v>
      </c>
      <c r="G1799" s="153">
        <f>70501.7*1.18</f>
        <v>83192.005999999994</v>
      </c>
      <c r="H1799" s="154">
        <v>42429</v>
      </c>
      <c r="I1799" s="154">
        <v>42495</v>
      </c>
      <c r="J1799" s="155">
        <v>83192.009999999995</v>
      </c>
    </row>
    <row r="1800" spans="1:10" s="9" customFormat="1" ht="16.5" outlineLevel="1" x14ac:dyDescent="0.25">
      <c r="A1800" s="776"/>
      <c r="B1800" s="799"/>
      <c r="C1800" s="112" t="s">
        <v>1007</v>
      </c>
      <c r="D1800" s="89">
        <v>31920.149182121098</v>
      </c>
      <c r="E1800" s="332"/>
      <c r="F1800" s="125"/>
      <c r="G1800" s="334"/>
      <c r="H1800" s="123"/>
      <c r="I1800" s="123"/>
      <c r="J1800" s="125"/>
    </row>
    <row r="1801" spans="1:10" s="7" customFormat="1" ht="17.25" outlineLevel="1" thickBot="1" x14ac:dyDescent="0.3">
      <c r="A1801" s="686" t="s">
        <v>628</v>
      </c>
      <c r="B1801" s="687"/>
      <c r="C1801" s="321"/>
      <c r="D1801" s="222">
        <f>SUM(D1798:D1800)</f>
        <v>4030355.6991821211</v>
      </c>
      <c r="E1801" s="322"/>
      <c r="F1801" s="310"/>
      <c r="G1801" s="323">
        <f>SUM(G1798:G1799)</f>
        <v>3998435.5460000001</v>
      </c>
      <c r="H1801" s="124"/>
      <c r="I1801" s="130"/>
      <c r="J1801" s="222">
        <f>SUM(J1798:J1799)</f>
        <v>3561496.8899999997</v>
      </c>
    </row>
    <row r="1802" spans="1:10" s="5" customFormat="1" ht="31.5" customHeight="1" x14ac:dyDescent="0.25">
      <c r="A1802" s="765">
        <v>5</v>
      </c>
      <c r="B1802" s="770" t="s">
        <v>369</v>
      </c>
      <c r="C1802" s="109" t="s">
        <v>500</v>
      </c>
      <c r="D1802" s="48">
        <v>7717591.9800000004</v>
      </c>
      <c r="E1802" s="335" t="s">
        <v>878</v>
      </c>
      <c r="F1802" s="51" t="s">
        <v>721</v>
      </c>
      <c r="G1802" s="49"/>
      <c r="H1802" s="50">
        <v>42633</v>
      </c>
      <c r="I1802" s="50">
        <v>42639</v>
      </c>
      <c r="J1802" s="51">
        <v>7717591.9800000004</v>
      </c>
    </row>
    <row r="1803" spans="1:10" s="7" customFormat="1" ht="33" outlineLevel="1" x14ac:dyDescent="0.25">
      <c r="A1803" s="766"/>
      <c r="B1803" s="771"/>
      <c r="C1803" s="150" t="s">
        <v>37</v>
      </c>
      <c r="D1803" s="151">
        <v>118372.92</v>
      </c>
      <c r="E1803" s="320" t="s">
        <v>619</v>
      </c>
      <c r="F1803" s="155" t="s">
        <v>614</v>
      </c>
      <c r="G1803" s="153">
        <f>100316.03*1.18</f>
        <v>118372.9154</v>
      </c>
      <c r="H1803" s="154">
        <v>42429</v>
      </c>
      <c r="I1803" s="154">
        <v>42495</v>
      </c>
      <c r="J1803" s="155">
        <v>118372.92</v>
      </c>
    </row>
    <row r="1804" spans="1:10" s="7" customFormat="1" ht="17.25" outlineLevel="1" thickBot="1" x14ac:dyDescent="0.3">
      <c r="A1804" s="686" t="s">
        <v>628</v>
      </c>
      <c r="B1804" s="687"/>
      <c r="C1804" s="321"/>
      <c r="D1804" s="222">
        <f>SUM(D1802:D1803)</f>
        <v>7835964.9000000004</v>
      </c>
      <c r="E1804" s="322"/>
      <c r="F1804" s="310"/>
      <c r="G1804" s="323">
        <f>SUM(G1802:G1803)</f>
        <v>118372.9154</v>
      </c>
      <c r="H1804" s="124"/>
      <c r="I1804" s="130"/>
      <c r="J1804" s="222">
        <f>SUM(J1802:J1803)</f>
        <v>7835964.9000000004</v>
      </c>
    </row>
    <row r="1805" spans="1:10" s="5" customFormat="1" ht="31.5" customHeight="1" x14ac:dyDescent="0.25">
      <c r="A1805" s="767">
        <v>6</v>
      </c>
      <c r="B1805" s="769" t="s">
        <v>370</v>
      </c>
      <c r="C1805" s="109" t="s">
        <v>500</v>
      </c>
      <c r="D1805" s="48">
        <v>4642191.9800000004</v>
      </c>
      <c r="E1805" s="335" t="s">
        <v>753</v>
      </c>
      <c r="F1805" s="51" t="s">
        <v>719</v>
      </c>
      <c r="G1805" s="49">
        <v>4406639.37</v>
      </c>
      <c r="H1805" s="50">
        <v>42530</v>
      </c>
      <c r="I1805" s="50">
        <v>42531</v>
      </c>
      <c r="J1805" s="51">
        <v>4642191.9799999995</v>
      </c>
    </row>
    <row r="1806" spans="1:10" s="7" customFormat="1" ht="33" outlineLevel="1" x14ac:dyDescent="0.25">
      <c r="A1806" s="768"/>
      <c r="B1806" s="764"/>
      <c r="C1806" s="150" t="s">
        <v>37</v>
      </c>
      <c r="D1806" s="151">
        <v>103616.8</v>
      </c>
      <c r="E1806" s="320" t="s">
        <v>619</v>
      </c>
      <c r="F1806" s="155" t="s">
        <v>614</v>
      </c>
      <c r="G1806" s="153">
        <f>87810.85*1.18</f>
        <v>103616.803</v>
      </c>
      <c r="H1806" s="154">
        <v>42429</v>
      </c>
      <c r="I1806" s="154">
        <v>42495</v>
      </c>
      <c r="J1806" s="155">
        <v>103616.8</v>
      </c>
    </row>
    <row r="1807" spans="1:10" s="7" customFormat="1" ht="17.25" outlineLevel="1" thickBot="1" x14ac:dyDescent="0.3">
      <c r="A1807" s="686" t="s">
        <v>628</v>
      </c>
      <c r="B1807" s="687"/>
      <c r="C1807" s="321"/>
      <c r="D1807" s="222">
        <f>SUM(D1805:D1806)</f>
        <v>4745808.78</v>
      </c>
      <c r="E1807" s="322"/>
      <c r="F1807" s="310"/>
      <c r="G1807" s="323">
        <f>SUM(G1805:G1806)</f>
        <v>4510256.1730000004</v>
      </c>
      <c r="H1807" s="124"/>
      <c r="I1807" s="130"/>
      <c r="J1807" s="222">
        <f t="shared" ref="J1807" si="43">SUM(J1805:J1806)</f>
        <v>4745808.7799999993</v>
      </c>
    </row>
    <row r="1808" spans="1:10" s="5" customFormat="1" ht="31.5" customHeight="1" x14ac:dyDescent="0.25">
      <c r="A1808" s="776">
        <v>7</v>
      </c>
      <c r="B1808" s="774" t="s">
        <v>40</v>
      </c>
      <c r="C1808" s="337" t="s">
        <v>500</v>
      </c>
      <c r="D1808" s="104">
        <v>11094451.26</v>
      </c>
      <c r="E1808" s="328" t="s">
        <v>727</v>
      </c>
      <c r="F1808" s="107" t="s">
        <v>662</v>
      </c>
      <c r="G1808" s="245">
        <v>13335011.439999999</v>
      </c>
      <c r="H1808" s="76">
        <v>42536</v>
      </c>
      <c r="I1808" s="76">
        <v>42536</v>
      </c>
      <c r="J1808" s="107">
        <v>11094451.26</v>
      </c>
    </row>
    <row r="1809" spans="1:10" s="7" customFormat="1" ht="33" outlineLevel="1" x14ac:dyDescent="0.25">
      <c r="A1809" s="768"/>
      <c r="B1809" s="775"/>
      <c r="C1809" s="110" t="s">
        <v>501</v>
      </c>
      <c r="D1809" s="104">
        <v>10544568.5</v>
      </c>
      <c r="E1809" s="52" t="s">
        <v>942</v>
      </c>
      <c r="F1809" s="52" t="s">
        <v>684</v>
      </c>
      <c r="G1809" s="74">
        <v>10694596.060000001</v>
      </c>
      <c r="H1809" s="75">
        <v>42638</v>
      </c>
      <c r="I1809" s="75">
        <v>42684</v>
      </c>
      <c r="J1809" s="52">
        <v>10544568.5</v>
      </c>
    </row>
    <row r="1810" spans="1:10" s="7" customFormat="1" ht="33" outlineLevel="1" x14ac:dyDescent="0.25">
      <c r="A1810" s="768"/>
      <c r="B1810" s="775"/>
      <c r="C1810" s="150" t="s">
        <v>37</v>
      </c>
      <c r="D1810" s="151">
        <v>126700.42</v>
      </c>
      <c r="E1810" s="320" t="s">
        <v>621</v>
      </c>
      <c r="F1810" s="155" t="s">
        <v>614</v>
      </c>
      <c r="G1810" s="153">
        <f>107373.13*1.18*0.99999993</f>
        <v>126700.28453097945</v>
      </c>
      <c r="H1810" s="154">
        <v>42384</v>
      </c>
      <c r="I1810" s="154">
        <v>42527</v>
      </c>
      <c r="J1810" s="155">
        <v>107373.13</v>
      </c>
    </row>
    <row r="1811" spans="1:10" s="7" customFormat="1" ht="17.25" outlineLevel="1" thickBot="1" x14ac:dyDescent="0.3">
      <c r="A1811" s="686" t="s">
        <v>628</v>
      </c>
      <c r="B1811" s="687"/>
      <c r="C1811" s="321"/>
      <c r="D1811" s="222">
        <f>SUM(D1808:D1810)</f>
        <v>21765720.18</v>
      </c>
      <c r="E1811" s="322"/>
      <c r="F1811" s="310"/>
      <c r="G1811" s="323">
        <f>SUM(G1808:G1810)</f>
        <v>24156307.784530979</v>
      </c>
      <c r="H1811" s="124"/>
      <c r="I1811" s="130"/>
      <c r="J1811" s="222">
        <f>SUM(J1808:J1810)</f>
        <v>21746392.889999997</v>
      </c>
    </row>
    <row r="1812" spans="1:10" s="5" customFormat="1" ht="31.5" customHeight="1" x14ac:dyDescent="0.25">
      <c r="A1812" s="767">
        <v>8</v>
      </c>
      <c r="B1812" s="769" t="s">
        <v>371</v>
      </c>
      <c r="C1812" s="109" t="s">
        <v>500</v>
      </c>
      <c r="D1812" s="48">
        <v>3783863.71</v>
      </c>
      <c r="E1812" s="335" t="s">
        <v>821</v>
      </c>
      <c r="F1812" s="51" t="s">
        <v>721</v>
      </c>
      <c r="G1812" s="49">
        <v>4318828.2</v>
      </c>
      <c r="H1812" s="50">
        <v>42566</v>
      </c>
      <c r="I1812" s="50">
        <v>42566</v>
      </c>
      <c r="J1812" s="51">
        <v>3783863.71</v>
      </c>
    </row>
    <row r="1813" spans="1:10" s="7" customFormat="1" ht="33" outlineLevel="1" x14ac:dyDescent="0.25">
      <c r="A1813" s="768"/>
      <c r="B1813" s="764"/>
      <c r="C1813" s="150" t="s">
        <v>37</v>
      </c>
      <c r="D1813" s="151">
        <v>78373.279999999999</v>
      </c>
      <c r="E1813" s="320" t="s">
        <v>619</v>
      </c>
      <c r="F1813" s="155" t="s">
        <v>614</v>
      </c>
      <c r="G1813" s="153">
        <f>66418.03*1.18</f>
        <v>78373.275399999999</v>
      </c>
      <c r="H1813" s="154">
        <v>42429</v>
      </c>
      <c r="I1813" s="154">
        <v>42495</v>
      </c>
      <c r="J1813" s="155">
        <v>78373.279999999999</v>
      </c>
    </row>
    <row r="1814" spans="1:10" s="7" customFormat="1" ht="17.25" outlineLevel="1" thickBot="1" x14ac:dyDescent="0.3">
      <c r="A1814" s="686" t="s">
        <v>628</v>
      </c>
      <c r="B1814" s="687"/>
      <c r="C1814" s="321"/>
      <c r="D1814" s="222">
        <f>SUM(D1812:D1813)</f>
        <v>3862236.9899999998</v>
      </c>
      <c r="E1814" s="322"/>
      <c r="F1814" s="310"/>
      <c r="G1814" s="323">
        <f>SUM(G1812:G1813)</f>
        <v>4397201.4753999999</v>
      </c>
      <c r="H1814" s="124"/>
      <c r="I1814" s="130"/>
      <c r="J1814" s="222">
        <f t="shared" ref="J1814" si="44">SUM(J1812:J1813)</f>
        <v>3862236.9899999998</v>
      </c>
    </row>
    <row r="1815" spans="1:10" s="5" customFormat="1" ht="31.5" customHeight="1" x14ac:dyDescent="0.25">
      <c r="A1815" s="767">
        <v>9</v>
      </c>
      <c r="B1815" s="769" t="s">
        <v>372</v>
      </c>
      <c r="C1815" s="109" t="s">
        <v>500</v>
      </c>
      <c r="D1815" s="48">
        <v>3804908.71</v>
      </c>
      <c r="E1815" s="335" t="s">
        <v>821</v>
      </c>
      <c r="F1815" s="51" t="s">
        <v>721</v>
      </c>
      <c r="G1815" s="49">
        <v>4271171.8</v>
      </c>
      <c r="H1815" s="50">
        <v>42566</v>
      </c>
      <c r="I1815" s="50">
        <v>42566</v>
      </c>
      <c r="J1815" s="51">
        <v>3804908.71</v>
      </c>
    </row>
    <row r="1816" spans="1:10" s="7" customFormat="1" ht="33" outlineLevel="1" x14ac:dyDescent="0.25">
      <c r="A1816" s="768"/>
      <c r="B1816" s="764"/>
      <c r="C1816" s="150" t="s">
        <v>37</v>
      </c>
      <c r="D1816" s="151">
        <v>78874.679999999993</v>
      </c>
      <c r="E1816" s="320" t="s">
        <v>619</v>
      </c>
      <c r="F1816" s="155" t="s">
        <v>614</v>
      </c>
      <c r="G1816" s="153">
        <f>66842.95*1.18</f>
        <v>78874.680999999997</v>
      </c>
      <c r="H1816" s="154">
        <v>42429</v>
      </c>
      <c r="I1816" s="154">
        <v>42495</v>
      </c>
      <c r="J1816" s="155">
        <v>78874.679999999993</v>
      </c>
    </row>
    <row r="1817" spans="1:10" s="7" customFormat="1" ht="17.25" outlineLevel="1" thickBot="1" x14ac:dyDescent="0.3">
      <c r="A1817" s="724" t="s">
        <v>628</v>
      </c>
      <c r="B1817" s="725"/>
      <c r="C1817" s="284"/>
      <c r="D1817" s="222">
        <f>SUM(D1815:D1816)</f>
        <v>3883783.39</v>
      </c>
      <c r="E1817" s="332"/>
      <c r="F1817" s="125"/>
      <c r="G1817" s="323">
        <f>SUM(G1815:G1816)</f>
        <v>4350046.4809999997</v>
      </c>
      <c r="H1817" s="123"/>
      <c r="I1817" s="108"/>
      <c r="J1817" s="222">
        <f t="shared" ref="J1817" si="45">SUM(J1815:J1816)</f>
        <v>3883783.39</v>
      </c>
    </row>
    <row r="1818" spans="1:10" s="5" customFormat="1" ht="31.5" customHeight="1" x14ac:dyDescent="0.25">
      <c r="A1818" s="767">
        <v>10</v>
      </c>
      <c r="B1818" s="769" t="s">
        <v>373</v>
      </c>
      <c r="C1818" s="109" t="s">
        <v>500</v>
      </c>
      <c r="D1818" s="48">
        <v>3226512.33</v>
      </c>
      <c r="E1818" s="335" t="s">
        <v>754</v>
      </c>
      <c r="F1818" s="51" t="s">
        <v>695</v>
      </c>
      <c r="G1818" s="49">
        <v>3572631.3</v>
      </c>
      <c r="H1818" s="50">
        <v>42522</v>
      </c>
      <c r="I1818" s="50">
        <v>42613</v>
      </c>
      <c r="J1818" s="51">
        <v>3226512.33</v>
      </c>
    </row>
    <row r="1819" spans="1:10" s="7" customFormat="1" ht="33" outlineLevel="1" x14ac:dyDescent="0.25">
      <c r="A1819" s="768"/>
      <c r="B1819" s="764"/>
      <c r="C1819" s="150" t="s">
        <v>37</v>
      </c>
      <c r="D1819" s="151">
        <v>77621.179999999993</v>
      </c>
      <c r="E1819" s="320" t="s">
        <v>619</v>
      </c>
      <c r="F1819" s="155" t="s">
        <v>614</v>
      </c>
      <c r="G1819" s="153">
        <f>65780.66*1.18</f>
        <v>77621.178799999994</v>
      </c>
      <c r="H1819" s="154">
        <v>42429</v>
      </c>
      <c r="I1819" s="154">
        <v>42495</v>
      </c>
      <c r="J1819" s="155">
        <v>77621.179999999993</v>
      </c>
    </row>
    <row r="1820" spans="1:10" s="7" customFormat="1" ht="17.25" outlineLevel="1" thickBot="1" x14ac:dyDescent="0.3">
      <c r="A1820" s="686" t="s">
        <v>628</v>
      </c>
      <c r="B1820" s="687"/>
      <c r="C1820" s="321"/>
      <c r="D1820" s="222">
        <f>SUM(D1818:D1819)</f>
        <v>3304133.5100000002</v>
      </c>
      <c r="E1820" s="322"/>
      <c r="F1820" s="310"/>
      <c r="G1820" s="323">
        <f>SUM(G1818:G1819)</f>
        <v>3650252.4787999997</v>
      </c>
      <c r="H1820" s="124"/>
      <c r="I1820" s="130"/>
      <c r="J1820" s="222">
        <f>SUM(J1818:J1819)</f>
        <v>3304133.5100000002</v>
      </c>
    </row>
    <row r="1821" spans="1:10" s="5" customFormat="1" ht="31.5" customHeight="1" x14ac:dyDescent="0.25">
      <c r="A1821" s="767">
        <v>11</v>
      </c>
      <c r="B1821" s="769" t="s">
        <v>374</v>
      </c>
      <c r="C1821" s="109" t="s">
        <v>500</v>
      </c>
      <c r="D1821" s="48">
        <v>3564773.64</v>
      </c>
      <c r="E1821" s="335" t="s">
        <v>824</v>
      </c>
      <c r="F1821" s="51" t="s">
        <v>721</v>
      </c>
      <c r="G1821" s="49">
        <v>4269906.74</v>
      </c>
      <c r="H1821" s="50">
        <v>42566</v>
      </c>
      <c r="I1821" s="50">
        <v>42566</v>
      </c>
      <c r="J1821" s="51">
        <v>3564773.64</v>
      </c>
    </row>
    <row r="1822" spans="1:10" s="7" customFormat="1" ht="33" outlineLevel="1" x14ac:dyDescent="0.25">
      <c r="A1822" s="768"/>
      <c r="B1822" s="764"/>
      <c r="C1822" s="150" t="s">
        <v>37</v>
      </c>
      <c r="D1822" s="151">
        <v>79208.94</v>
      </c>
      <c r="E1822" s="320" t="s">
        <v>619</v>
      </c>
      <c r="F1822" s="155" t="s">
        <v>614</v>
      </c>
      <c r="G1822" s="153">
        <f>67126.22*1.18</f>
        <v>79208.939599999998</v>
      </c>
      <c r="H1822" s="154">
        <v>42429</v>
      </c>
      <c r="I1822" s="154">
        <v>42495</v>
      </c>
      <c r="J1822" s="155">
        <v>79208.94</v>
      </c>
    </row>
    <row r="1823" spans="1:10" s="7" customFormat="1" ht="17.25" outlineLevel="1" thickBot="1" x14ac:dyDescent="0.3">
      <c r="A1823" s="686" t="s">
        <v>628</v>
      </c>
      <c r="B1823" s="687"/>
      <c r="C1823" s="321"/>
      <c r="D1823" s="222">
        <f>SUM(D1821:D1822)</f>
        <v>3643982.58</v>
      </c>
      <c r="E1823" s="322"/>
      <c r="F1823" s="310"/>
      <c r="G1823" s="323">
        <f>SUM(G1821:G1822)</f>
        <v>4349115.6796000004</v>
      </c>
      <c r="H1823" s="124"/>
      <c r="I1823" s="130"/>
      <c r="J1823" s="222">
        <f t="shared" ref="J1823" si="46">SUM(J1821:J1822)</f>
        <v>3643982.58</v>
      </c>
    </row>
    <row r="1824" spans="1:10" s="5" customFormat="1" ht="31.5" customHeight="1" x14ac:dyDescent="0.25">
      <c r="A1824" s="767">
        <v>12</v>
      </c>
      <c r="B1824" s="769" t="s">
        <v>375</v>
      </c>
      <c r="C1824" s="109" t="s">
        <v>500</v>
      </c>
      <c r="D1824" s="48">
        <v>3614203.06</v>
      </c>
      <c r="E1824" s="335" t="s">
        <v>853</v>
      </c>
      <c r="F1824" s="51" t="s">
        <v>721</v>
      </c>
      <c r="G1824" s="49">
        <v>3960000</v>
      </c>
      <c r="H1824" s="50">
        <v>42597</v>
      </c>
      <c r="I1824" s="50">
        <v>42597</v>
      </c>
      <c r="J1824" s="51">
        <v>3614203.06</v>
      </c>
    </row>
    <row r="1825" spans="1:10" s="7" customFormat="1" ht="33" outlineLevel="1" x14ac:dyDescent="0.25">
      <c r="A1825" s="768"/>
      <c r="B1825" s="764"/>
      <c r="C1825" s="150" t="s">
        <v>37</v>
      </c>
      <c r="D1825" s="151">
        <v>68212.600000000006</v>
      </c>
      <c r="E1825" s="320" t="s">
        <v>619</v>
      </c>
      <c r="F1825" s="155" t="s">
        <v>614</v>
      </c>
      <c r="G1825" s="153">
        <f>57807.29*1.18</f>
        <v>68212.602199999994</v>
      </c>
      <c r="H1825" s="154">
        <v>42429</v>
      </c>
      <c r="I1825" s="154">
        <v>42495</v>
      </c>
      <c r="J1825" s="155">
        <v>68212.600000000006</v>
      </c>
    </row>
    <row r="1826" spans="1:10" s="7" customFormat="1" ht="17.25" outlineLevel="1" thickBot="1" x14ac:dyDescent="0.3">
      <c r="A1826" s="686" t="s">
        <v>628</v>
      </c>
      <c r="B1826" s="687"/>
      <c r="C1826" s="321"/>
      <c r="D1826" s="222">
        <f>SUM(D1824:D1825)</f>
        <v>3682415.66</v>
      </c>
      <c r="E1826" s="322"/>
      <c r="F1826" s="310"/>
      <c r="G1826" s="323">
        <f>SUM(G1824:G1825)</f>
        <v>4028212.6022000001</v>
      </c>
      <c r="H1826" s="124"/>
      <c r="I1826" s="130"/>
      <c r="J1826" s="222">
        <f>SUM(J1824:J1825)</f>
        <v>3682415.66</v>
      </c>
    </row>
    <row r="1827" spans="1:10" s="5" customFormat="1" ht="41.25" customHeight="1" x14ac:dyDescent="0.25">
      <c r="A1827" s="767">
        <v>13</v>
      </c>
      <c r="B1827" s="769" t="s">
        <v>376</v>
      </c>
      <c r="C1827" s="109" t="s">
        <v>500</v>
      </c>
      <c r="D1827" s="48">
        <v>3834399.72</v>
      </c>
      <c r="E1827" s="335" t="s">
        <v>824</v>
      </c>
      <c r="F1827" s="51" t="s">
        <v>721</v>
      </c>
      <c r="G1827" s="49">
        <v>4680093.26</v>
      </c>
      <c r="H1827" s="50">
        <v>42566</v>
      </c>
      <c r="I1827" s="50">
        <v>42566</v>
      </c>
      <c r="J1827" s="51">
        <v>3834399.7199999997</v>
      </c>
    </row>
    <row r="1828" spans="1:10" s="7" customFormat="1" ht="33" outlineLevel="1" x14ac:dyDescent="0.25">
      <c r="A1828" s="768"/>
      <c r="B1828" s="764"/>
      <c r="C1828" s="150" t="s">
        <v>37</v>
      </c>
      <c r="D1828" s="151">
        <v>78633.81</v>
      </c>
      <c r="E1828" s="320" t="s">
        <v>619</v>
      </c>
      <c r="F1828" s="155" t="s">
        <v>614</v>
      </c>
      <c r="G1828" s="153">
        <f>66638.82*1.18</f>
        <v>78633.8076</v>
      </c>
      <c r="H1828" s="154">
        <v>42429</v>
      </c>
      <c r="I1828" s="154">
        <v>42495</v>
      </c>
      <c r="J1828" s="155">
        <v>78633.81</v>
      </c>
    </row>
    <row r="1829" spans="1:10" s="7" customFormat="1" ht="17.25" outlineLevel="1" thickBot="1" x14ac:dyDescent="0.3">
      <c r="A1829" s="724" t="s">
        <v>628</v>
      </c>
      <c r="B1829" s="725"/>
      <c r="C1829" s="284"/>
      <c r="D1829" s="222">
        <f>SUM(D1827:D1828)</f>
        <v>3913033.5300000003</v>
      </c>
      <c r="E1829" s="332"/>
      <c r="F1829" s="125"/>
      <c r="G1829" s="323">
        <f>SUM(G1827:G1828)</f>
        <v>4758727.0675999997</v>
      </c>
      <c r="H1829" s="123"/>
      <c r="I1829" s="108"/>
      <c r="J1829" s="222">
        <f t="shared" ref="J1829" si="47">SUM(J1827:J1828)</f>
        <v>3913033.53</v>
      </c>
    </row>
    <row r="1830" spans="1:10" s="5" customFormat="1" ht="31.5" customHeight="1" x14ac:dyDescent="0.25">
      <c r="A1830" s="765">
        <v>14</v>
      </c>
      <c r="B1830" s="770" t="s">
        <v>377</v>
      </c>
      <c r="C1830" s="109" t="s">
        <v>500</v>
      </c>
      <c r="D1830" s="48">
        <v>6472611.5199999996</v>
      </c>
      <c r="E1830" s="335" t="s">
        <v>923</v>
      </c>
      <c r="F1830" s="51" t="s">
        <v>662</v>
      </c>
      <c r="G1830" s="49">
        <v>6966617.3399999999</v>
      </c>
      <c r="H1830" s="50">
        <v>42643</v>
      </c>
      <c r="I1830" s="50">
        <v>42653</v>
      </c>
      <c r="J1830" s="51">
        <v>6472611.5199999996</v>
      </c>
    </row>
    <row r="1831" spans="1:10" s="7" customFormat="1" ht="33" outlineLevel="1" x14ac:dyDescent="0.25">
      <c r="A1831" s="766"/>
      <c r="B1831" s="771"/>
      <c r="C1831" s="150" t="s">
        <v>37</v>
      </c>
      <c r="D1831" s="151">
        <v>101449.99</v>
      </c>
      <c r="E1831" s="320" t="s">
        <v>619</v>
      </c>
      <c r="F1831" s="155" t="s">
        <v>614</v>
      </c>
      <c r="G1831" s="153">
        <f>85974.57*1.18</f>
        <v>101449.9926</v>
      </c>
      <c r="H1831" s="154">
        <v>42429</v>
      </c>
      <c r="I1831" s="154">
        <v>42495</v>
      </c>
      <c r="J1831" s="155">
        <v>101449.99</v>
      </c>
    </row>
    <row r="1832" spans="1:10" s="7" customFormat="1" ht="17.25" outlineLevel="1" thickBot="1" x14ac:dyDescent="0.3">
      <c r="A1832" s="724" t="s">
        <v>628</v>
      </c>
      <c r="B1832" s="725"/>
      <c r="C1832" s="284"/>
      <c r="D1832" s="269">
        <f>SUM(D1830:D1831)</f>
        <v>6574061.5099999998</v>
      </c>
      <c r="E1832" s="332"/>
      <c r="F1832" s="125"/>
      <c r="G1832" s="333">
        <f>SUM(G1830:G1831)</f>
        <v>7068067.3325999994</v>
      </c>
      <c r="H1832" s="123"/>
      <c r="I1832" s="108"/>
      <c r="J1832" s="269">
        <f>SUM(J1830:J1831)</f>
        <v>6574061.5099999998</v>
      </c>
    </row>
    <row r="1833" spans="1:10" s="25" customFormat="1" ht="31.5" customHeight="1" x14ac:dyDescent="0.25">
      <c r="A1833" s="765">
        <v>15</v>
      </c>
      <c r="B1833" s="770" t="s">
        <v>378</v>
      </c>
      <c r="C1833" s="109" t="s">
        <v>500</v>
      </c>
      <c r="D1833" s="48">
        <v>3160497.84</v>
      </c>
      <c r="E1833" s="51" t="s">
        <v>1013</v>
      </c>
      <c r="F1833" s="51" t="s">
        <v>660</v>
      </c>
      <c r="G1833" s="51">
        <v>3160497.84</v>
      </c>
      <c r="H1833" s="419">
        <v>42674</v>
      </c>
      <c r="I1833" s="50">
        <v>42706</v>
      </c>
      <c r="J1833" s="51">
        <v>3075763.22</v>
      </c>
    </row>
    <row r="1834" spans="1:10" s="7" customFormat="1" ht="33" outlineLevel="1" x14ac:dyDescent="0.25">
      <c r="A1834" s="766"/>
      <c r="B1834" s="771"/>
      <c r="C1834" s="150" t="s">
        <v>37</v>
      </c>
      <c r="D1834" s="151">
        <v>125091.14</v>
      </c>
      <c r="E1834" s="320" t="s">
        <v>619</v>
      </c>
      <c r="F1834" s="155" t="s">
        <v>614</v>
      </c>
      <c r="G1834" s="153">
        <f>106009.44*1.18</f>
        <v>125091.13919999999</v>
      </c>
      <c r="H1834" s="154">
        <v>42429</v>
      </c>
      <c r="I1834" s="154">
        <v>42495</v>
      </c>
      <c r="J1834" s="155">
        <v>125091.14</v>
      </c>
    </row>
    <row r="1835" spans="1:10" s="9" customFormat="1" ht="16.5" outlineLevel="1" x14ac:dyDescent="0.25">
      <c r="A1835" s="776"/>
      <c r="B1835" s="799"/>
      <c r="C1835" s="112" t="s">
        <v>1007</v>
      </c>
      <c r="D1835" s="89">
        <v>32978.725558058803</v>
      </c>
      <c r="E1835" s="332"/>
      <c r="F1835" s="125"/>
      <c r="G1835" s="334"/>
      <c r="H1835" s="123"/>
      <c r="I1835" s="123"/>
      <c r="J1835" s="125"/>
    </row>
    <row r="1836" spans="1:10" s="7" customFormat="1" ht="17.25" outlineLevel="1" thickBot="1" x14ac:dyDescent="0.3">
      <c r="A1836" s="686" t="s">
        <v>628</v>
      </c>
      <c r="B1836" s="687"/>
      <c r="C1836" s="321"/>
      <c r="D1836" s="222">
        <f>SUM(D1833:D1835)</f>
        <v>3318567.7055580588</v>
      </c>
      <c r="E1836" s="322"/>
      <c r="F1836" s="310"/>
      <c r="G1836" s="323">
        <f>SUM(G1833:G1834)</f>
        <v>3285588.9791999999</v>
      </c>
      <c r="H1836" s="124"/>
      <c r="I1836" s="130"/>
      <c r="J1836" s="222">
        <f>SUM(J1833:J1834)</f>
        <v>3200854.3600000003</v>
      </c>
    </row>
    <row r="1837" spans="1:10" s="5" customFormat="1" ht="46.5" customHeight="1" x14ac:dyDescent="0.25">
      <c r="A1837" s="765">
        <v>16</v>
      </c>
      <c r="B1837" s="770" t="s">
        <v>379</v>
      </c>
      <c r="C1837" s="109" t="s">
        <v>500</v>
      </c>
      <c r="D1837" s="48">
        <v>5911696.5300000003</v>
      </c>
      <c r="E1837" s="335" t="s">
        <v>886</v>
      </c>
      <c r="F1837" s="51" t="s">
        <v>721</v>
      </c>
      <c r="G1837" s="49">
        <v>6890000</v>
      </c>
      <c r="H1837" s="50">
        <v>42613</v>
      </c>
      <c r="I1837" s="50">
        <v>42614</v>
      </c>
      <c r="J1837" s="51">
        <v>5911696.5300000003</v>
      </c>
    </row>
    <row r="1838" spans="1:10" s="7" customFormat="1" ht="33" outlineLevel="1" x14ac:dyDescent="0.25">
      <c r="A1838" s="766"/>
      <c r="B1838" s="771"/>
      <c r="C1838" s="150" t="s">
        <v>37</v>
      </c>
      <c r="D1838" s="151">
        <v>100475.57</v>
      </c>
      <c r="E1838" s="320" t="s">
        <v>619</v>
      </c>
      <c r="F1838" s="155" t="s">
        <v>614</v>
      </c>
      <c r="G1838" s="153">
        <f>85148.79*1.18</f>
        <v>100475.57219999998</v>
      </c>
      <c r="H1838" s="154">
        <v>42429</v>
      </c>
      <c r="I1838" s="154">
        <v>42495</v>
      </c>
      <c r="J1838" s="155">
        <v>100475.57</v>
      </c>
    </row>
    <row r="1839" spans="1:10" s="7" customFormat="1" ht="17.25" outlineLevel="1" thickBot="1" x14ac:dyDescent="0.3">
      <c r="A1839" s="686" t="s">
        <v>628</v>
      </c>
      <c r="B1839" s="687"/>
      <c r="C1839" s="321"/>
      <c r="D1839" s="222">
        <f>SUM(D1837:D1838)</f>
        <v>6012172.1000000006</v>
      </c>
      <c r="E1839" s="322"/>
      <c r="F1839" s="310"/>
      <c r="G1839" s="323">
        <f>SUM(G1837:G1838)</f>
        <v>6990475.5722000003</v>
      </c>
      <c r="H1839" s="124"/>
      <c r="I1839" s="130"/>
      <c r="J1839" s="222">
        <f>SUM(J1837:J1838)</f>
        <v>6012172.1000000006</v>
      </c>
    </row>
    <row r="1840" spans="1:10" s="5" customFormat="1" ht="31.5" customHeight="1" x14ac:dyDescent="0.25">
      <c r="A1840" s="767">
        <v>1</v>
      </c>
      <c r="B1840" s="777" t="s">
        <v>380</v>
      </c>
      <c r="C1840" s="109" t="s">
        <v>500</v>
      </c>
      <c r="D1840" s="48">
        <v>7666055.2599999998</v>
      </c>
      <c r="E1840" s="335" t="s">
        <v>663</v>
      </c>
      <c r="F1840" s="51" t="s">
        <v>660</v>
      </c>
      <c r="G1840" s="49">
        <v>7511308.8799999999</v>
      </c>
      <c r="H1840" s="50">
        <v>42471</v>
      </c>
      <c r="I1840" s="50">
        <v>42470</v>
      </c>
      <c r="J1840" s="51">
        <v>7666055.2599999998</v>
      </c>
    </row>
    <row r="1841" spans="1:10" s="7" customFormat="1" ht="33" outlineLevel="1" x14ac:dyDescent="0.25">
      <c r="A1841" s="768"/>
      <c r="B1841" s="775"/>
      <c r="C1841" s="150" t="s">
        <v>37</v>
      </c>
      <c r="D1841" s="151">
        <v>66971.539999999994</v>
      </c>
      <c r="E1841" s="320" t="s">
        <v>621</v>
      </c>
      <c r="F1841" s="155" t="s">
        <v>614</v>
      </c>
      <c r="G1841" s="153">
        <v>66971.539999999994</v>
      </c>
      <c r="H1841" s="154">
        <v>42384</v>
      </c>
      <c r="I1841" s="154">
        <v>42367</v>
      </c>
      <c r="J1841" s="155">
        <v>56755.55</v>
      </c>
    </row>
    <row r="1842" spans="1:10" s="7" customFormat="1" ht="17.25" outlineLevel="1" thickBot="1" x14ac:dyDescent="0.3">
      <c r="A1842" s="686" t="s">
        <v>628</v>
      </c>
      <c r="B1842" s="687"/>
      <c r="C1842" s="321"/>
      <c r="D1842" s="222">
        <f>SUM(D1840:D1841)</f>
        <v>7733026.7999999998</v>
      </c>
      <c r="E1842" s="322"/>
      <c r="F1842" s="310"/>
      <c r="G1842" s="323">
        <f>SUM(G1840:G1841)</f>
        <v>7578280.4199999999</v>
      </c>
      <c r="H1842" s="124"/>
      <c r="I1842" s="130"/>
      <c r="J1842" s="222">
        <f>SUM(J1840:J1841)</f>
        <v>7722810.8099999996</v>
      </c>
    </row>
    <row r="1843" spans="1:10" s="5" customFormat="1" ht="33" x14ac:dyDescent="0.25">
      <c r="A1843" s="776">
        <v>2</v>
      </c>
      <c r="B1843" s="774" t="s">
        <v>381</v>
      </c>
      <c r="C1843" s="337" t="s">
        <v>500</v>
      </c>
      <c r="D1843" s="104">
        <v>7033236.5599999996</v>
      </c>
      <c r="E1843" s="328" t="s">
        <v>664</v>
      </c>
      <c r="F1843" s="107" t="s">
        <v>662</v>
      </c>
      <c r="G1843" s="106">
        <v>7445094.3600000003</v>
      </c>
      <c r="H1843" s="76">
        <v>42470</v>
      </c>
      <c r="I1843" s="76">
        <v>42468</v>
      </c>
      <c r="J1843" s="107">
        <v>7033236.5600000005</v>
      </c>
    </row>
    <row r="1844" spans="1:10" s="7" customFormat="1" ht="33" outlineLevel="1" x14ac:dyDescent="0.25">
      <c r="A1844" s="768"/>
      <c r="B1844" s="775"/>
      <c r="C1844" s="150" t="s">
        <v>37</v>
      </c>
      <c r="D1844" s="151">
        <v>66971.539999999994</v>
      </c>
      <c r="E1844" s="320" t="s">
        <v>621</v>
      </c>
      <c r="F1844" s="155" t="s">
        <v>614</v>
      </c>
      <c r="G1844" s="153">
        <v>66971.539999999994</v>
      </c>
      <c r="H1844" s="154">
        <v>42384</v>
      </c>
      <c r="I1844" s="154">
        <v>42367</v>
      </c>
      <c r="J1844" s="155">
        <v>56755.55</v>
      </c>
    </row>
    <row r="1845" spans="1:10" s="7" customFormat="1" ht="17.25" outlineLevel="1" thickBot="1" x14ac:dyDescent="0.3">
      <c r="A1845" s="686" t="s">
        <v>628</v>
      </c>
      <c r="B1845" s="687"/>
      <c r="C1845" s="321"/>
      <c r="D1845" s="222">
        <f>SUM(D1843:D1844)</f>
        <v>7100208.0999999996</v>
      </c>
      <c r="E1845" s="322"/>
      <c r="F1845" s="310"/>
      <c r="G1845" s="323">
        <f>SUM(G1843:G1844)</f>
        <v>7512065.9000000004</v>
      </c>
      <c r="H1845" s="124"/>
      <c r="I1845" s="130"/>
      <c r="J1845" s="222">
        <f>SUM(J1843:J1844)</f>
        <v>7089992.1100000003</v>
      </c>
    </row>
    <row r="1846" spans="1:10" s="5" customFormat="1" ht="32.25" customHeight="1" x14ac:dyDescent="0.25">
      <c r="A1846" s="767">
        <v>3</v>
      </c>
      <c r="B1846" s="769" t="s">
        <v>382</v>
      </c>
      <c r="C1846" s="109" t="s">
        <v>500</v>
      </c>
      <c r="D1846" s="48">
        <v>5569494.4299999997</v>
      </c>
      <c r="E1846" s="335" t="s">
        <v>796</v>
      </c>
      <c r="F1846" s="51" t="s">
        <v>797</v>
      </c>
      <c r="G1846" s="49">
        <v>5877900</v>
      </c>
      <c r="H1846" s="50">
        <v>42587</v>
      </c>
      <c r="I1846" s="50">
        <v>42600</v>
      </c>
      <c r="J1846" s="219">
        <v>5569494.4299999997</v>
      </c>
    </row>
    <row r="1847" spans="1:10" s="7" customFormat="1" ht="33" outlineLevel="1" x14ac:dyDescent="0.25">
      <c r="A1847" s="768"/>
      <c r="B1847" s="764"/>
      <c r="C1847" s="150" t="s">
        <v>37</v>
      </c>
      <c r="D1847" s="151">
        <v>82335.31</v>
      </c>
      <c r="E1847" s="320" t="s">
        <v>619</v>
      </c>
      <c r="F1847" s="155" t="s">
        <v>614</v>
      </c>
      <c r="G1847" s="153">
        <f>69775.69*1.18</f>
        <v>82335.314199999993</v>
      </c>
      <c r="H1847" s="154">
        <v>42429</v>
      </c>
      <c r="I1847" s="154">
        <v>42495</v>
      </c>
      <c r="J1847" s="155">
        <v>82335.31</v>
      </c>
    </row>
    <row r="1848" spans="1:10" s="7" customFormat="1" ht="17.25" outlineLevel="1" thickBot="1" x14ac:dyDescent="0.3">
      <c r="A1848" s="686" t="s">
        <v>628</v>
      </c>
      <c r="B1848" s="687"/>
      <c r="C1848" s="321"/>
      <c r="D1848" s="222">
        <f>SUM(D1846:D1847)</f>
        <v>5651829.7399999993</v>
      </c>
      <c r="E1848" s="322"/>
      <c r="F1848" s="310"/>
      <c r="G1848" s="323">
        <f>SUM(G1846:G1847)</f>
        <v>5960235.3141999999</v>
      </c>
      <c r="H1848" s="124"/>
      <c r="I1848" s="130"/>
      <c r="J1848" s="222">
        <f>SUM(J1846:J1847)</f>
        <v>5651829.7399999993</v>
      </c>
    </row>
    <row r="1849" spans="1:10" s="5" customFormat="1" ht="36" customHeight="1" x14ac:dyDescent="0.25">
      <c r="A1849" s="765">
        <v>4</v>
      </c>
      <c r="B1849" s="770" t="s">
        <v>383</v>
      </c>
      <c r="C1849" s="109" t="s">
        <v>500</v>
      </c>
      <c r="D1849" s="48">
        <v>5293814.74</v>
      </c>
      <c r="E1849" s="335" t="s">
        <v>935</v>
      </c>
      <c r="F1849" s="51" t="s">
        <v>936</v>
      </c>
      <c r="G1849" s="49">
        <v>6231931</v>
      </c>
      <c r="H1849" s="50">
        <v>42623</v>
      </c>
      <c r="I1849" s="50">
        <v>42639</v>
      </c>
      <c r="J1849" s="51">
        <v>5293814.74</v>
      </c>
    </row>
    <row r="1850" spans="1:10" s="7" customFormat="1" ht="33" outlineLevel="1" x14ac:dyDescent="0.25">
      <c r="A1850" s="766"/>
      <c r="B1850" s="771"/>
      <c r="C1850" s="150" t="s">
        <v>37</v>
      </c>
      <c r="D1850" s="151">
        <v>82039.77</v>
      </c>
      <c r="E1850" s="320" t="s">
        <v>619</v>
      </c>
      <c r="F1850" s="155" t="s">
        <v>614</v>
      </c>
      <c r="G1850" s="153">
        <f>69525.23*1.18</f>
        <v>82039.771399999998</v>
      </c>
      <c r="H1850" s="154">
        <v>42429</v>
      </c>
      <c r="I1850" s="154">
        <v>42495</v>
      </c>
      <c r="J1850" s="155">
        <v>82039.77</v>
      </c>
    </row>
    <row r="1851" spans="1:10" s="7" customFormat="1" ht="17.25" outlineLevel="1" thickBot="1" x14ac:dyDescent="0.3">
      <c r="A1851" s="686" t="s">
        <v>628</v>
      </c>
      <c r="B1851" s="687"/>
      <c r="C1851" s="321"/>
      <c r="D1851" s="222">
        <f>SUM(D1849:D1850)</f>
        <v>5375854.5099999998</v>
      </c>
      <c r="E1851" s="322"/>
      <c r="F1851" s="310"/>
      <c r="G1851" s="323">
        <f>SUM(G1849:G1850)</f>
        <v>6313970.7714</v>
      </c>
      <c r="H1851" s="124"/>
      <c r="I1851" s="130"/>
      <c r="J1851" s="222">
        <f>SUM(J1849:J1850)</f>
        <v>5375854.5099999998</v>
      </c>
    </row>
    <row r="1852" spans="1:10" s="5" customFormat="1" ht="28.5" customHeight="1" x14ac:dyDescent="0.25">
      <c r="A1852" s="767">
        <v>5</v>
      </c>
      <c r="B1852" s="769" t="s">
        <v>384</v>
      </c>
      <c r="C1852" s="109" t="s">
        <v>500</v>
      </c>
      <c r="D1852" s="48">
        <v>11964796.199999999</v>
      </c>
      <c r="E1852" s="335" t="s">
        <v>770</v>
      </c>
      <c r="F1852" s="51" t="s">
        <v>662</v>
      </c>
      <c r="G1852" s="49">
        <v>11645357.369999999</v>
      </c>
      <c r="H1852" s="50">
        <v>42566</v>
      </c>
      <c r="I1852" s="50">
        <v>42572</v>
      </c>
      <c r="J1852" s="51">
        <v>11964796.200000001</v>
      </c>
    </row>
    <row r="1853" spans="1:10" s="7" customFormat="1" ht="33" outlineLevel="1" x14ac:dyDescent="0.25">
      <c r="A1853" s="768"/>
      <c r="B1853" s="764"/>
      <c r="C1853" s="150" t="s">
        <v>37</v>
      </c>
      <c r="D1853" s="151">
        <v>111054.91</v>
      </c>
      <c r="E1853" s="320" t="s">
        <v>619</v>
      </c>
      <c r="F1853" s="155" t="s">
        <v>614</v>
      </c>
      <c r="G1853" s="153">
        <f>94114.33*1.18</f>
        <v>111054.90939999999</v>
      </c>
      <c r="H1853" s="154">
        <v>42429</v>
      </c>
      <c r="I1853" s="154">
        <v>42495</v>
      </c>
      <c r="J1853" s="155">
        <v>111054.91</v>
      </c>
    </row>
    <row r="1854" spans="1:10" s="7" customFormat="1" ht="17.25" outlineLevel="1" thickBot="1" x14ac:dyDescent="0.3">
      <c r="A1854" s="686" t="s">
        <v>628</v>
      </c>
      <c r="B1854" s="687"/>
      <c r="C1854" s="321"/>
      <c r="D1854" s="222">
        <f>SUM(D1852:D1853)</f>
        <v>12075851.109999999</v>
      </c>
      <c r="E1854" s="322"/>
      <c r="F1854" s="310"/>
      <c r="G1854" s="323">
        <f>SUM(G1852:G1853)</f>
        <v>11756412.279399998</v>
      </c>
      <c r="H1854" s="124"/>
      <c r="I1854" s="130"/>
      <c r="J1854" s="68">
        <f>J1852+J1853</f>
        <v>12075851.110000001</v>
      </c>
    </row>
    <row r="1855" spans="1:10" s="5" customFormat="1" ht="32.25" customHeight="1" x14ac:dyDescent="0.25">
      <c r="A1855" s="776">
        <v>6</v>
      </c>
      <c r="B1855" s="774" t="s">
        <v>385</v>
      </c>
      <c r="C1855" s="337" t="s">
        <v>500</v>
      </c>
      <c r="D1855" s="104">
        <v>3018381</v>
      </c>
      <c r="E1855" s="328" t="s">
        <v>769</v>
      </c>
      <c r="F1855" s="107" t="s">
        <v>743</v>
      </c>
      <c r="G1855" s="106">
        <v>3130420.82</v>
      </c>
      <c r="H1855" s="76">
        <v>42581</v>
      </c>
      <c r="I1855" s="76">
        <v>42520</v>
      </c>
      <c r="J1855" s="107">
        <v>3018381</v>
      </c>
    </row>
    <row r="1856" spans="1:10" s="7" customFormat="1" ht="33" outlineLevel="1" x14ac:dyDescent="0.25">
      <c r="A1856" s="768"/>
      <c r="B1856" s="775"/>
      <c r="C1856" s="150" t="s">
        <v>37</v>
      </c>
      <c r="D1856" s="151">
        <v>64457.34</v>
      </c>
      <c r="E1856" s="320" t="s">
        <v>621</v>
      </c>
      <c r="F1856" s="155" t="s">
        <v>614</v>
      </c>
      <c r="G1856" s="153">
        <v>64457.34</v>
      </c>
      <c r="H1856" s="154">
        <v>42384</v>
      </c>
      <c r="I1856" s="154">
        <v>42464</v>
      </c>
      <c r="J1856" s="155">
        <v>54624.87</v>
      </c>
    </row>
    <row r="1857" spans="1:10" s="7" customFormat="1" ht="17.25" outlineLevel="1" thickBot="1" x14ac:dyDescent="0.3">
      <c r="A1857" s="686" t="s">
        <v>628</v>
      </c>
      <c r="B1857" s="687"/>
      <c r="C1857" s="321"/>
      <c r="D1857" s="222">
        <f>SUM(D1855:D1856)</f>
        <v>3082838.34</v>
      </c>
      <c r="E1857" s="322"/>
      <c r="F1857" s="310"/>
      <c r="G1857" s="323">
        <f>SUM(G1855:G1856)</f>
        <v>3194878.1599999997</v>
      </c>
      <c r="H1857" s="124"/>
      <c r="I1857" s="130"/>
      <c r="J1857" s="222">
        <f t="shared" ref="J1857" si="48">SUM(J1855:J1856)</f>
        <v>3073005.87</v>
      </c>
    </row>
    <row r="1858" spans="1:10" s="5" customFormat="1" ht="33.75" customHeight="1" x14ac:dyDescent="0.25">
      <c r="A1858" s="767">
        <v>7</v>
      </c>
      <c r="B1858" s="777" t="s">
        <v>386</v>
      </c>
      <c r="C1858" s="109" t="s">
        <v>500</v>
      </c>
      <c r="D1858" s="48">
        <v>3374097.92</v>
      </c>
      <c r="E1858" s="335" t="s">
        <v>682</v>
      </c>
      <c r="F1858" s="51" t="s">
        <v>675</v>
      </c>
      <c r="G1858" s="49">
        <v>3407574.5</v>
      </c>
      <c r="H1858" s="50">
        <v>42505</v>
      </c>
      <c r="I1858" s="50">
        <v>42473</v>
      </c>
      <c r="J1858" s="51">
        <v>3374097.92</v>
      </c>
    </row>
    <row r="1859" spans="1:10" s="7" customFormat="1" ht="39.75" customHeight="1" outlineLevel="1" x14ac:dyDescent="0.25">
      <c r="A1859" s="768"/>
      <c r="B1859" s="775"/>
      <c r="C1859" s="110" t="s">
        <v>501</v>
      </c>
      <c r="D1859" s="73">
        <v>4015093.96</v>
      </c>
      <c r="E1859" s="420" t="s">
        <v>880</v>
      </c>
      <c r="F1859" s="52" t="s">
        <v>881</v>
      </c>
      <c r="G1859" s="74"/>
      <c r="H1859" s="75">
        <v>42628</v>
      </c>
      <c r="I1859" s="75">
        <v>42662</v>
      </c>
      <c r="J1859" s="52">
        <v>3618149.04</v>
      </c>
    </row>
    <row r="1860" spans="1:10" s="7" customFormat="1" ht="33" outlineLevel="1" x14ac:dyDescent="0.25">
      <c r="A1860" s="768"/>
      <c r="B1860" s="775"/>
      <c r="C1860" s="150" t="s">
        <v>37</v>
      </c>
      <c r="D1860" s="151">
        <v>136739.04</v>
      </c>
      <c r="E1860" s="320" t="s">
        <v>621</v>
      </c>
      <c r="F1860" s="155" t="s">
        <v>614</v>
      </c>
      <c r="G1860" s="153">
        <v>136739.04</v>
      </c>
      <c r="H1860" s="154">
        <v>42384</v>
      </c>
      <c r="I1860" s="154">
        <v>42527</v>
      </c>
      <c r="J1860" s="155">
        <v>115880.55</v>
      </c>
    </row>
    <row r="1861" spans="1:10" s="7" customFormat="1" ht="17.25" outlineLevel="1" thickBot="1" x14ac:dyDescent="0.3">
      <c r="A1861" s="686" t="s">
        <v>628</v>
      </c>
      <c r="B1861" s="687"/>
      <c r="C1861" s="321"/>
      <c r="D1861" s="222">
        <f>SUM(D1858:D1860)</f>
        <v>7525930.9199999999</v>
      </c>
      <c r="E1861" s="322"/>
      <c r="F1861" s="310"/>
      <c r="G1861" s="323">
        <f>SUM(G1858:G1860)</f>
        <v>3544313.54</v>
      </c>
      <c r="H1861" s="124"/>
      <c r="I1861" s="130"/>
      <c r="J1861" s="222">
        <f>SUM(J1858:J1860)</f>
        <v>7108127.5099999998</v>
      </c>
    </row>
    <row r="1862" spans="1:10" s="5" customFormat="1" ht="33" x14ac:dyDescent="0.25">
      <c r="A1862" s="767">
        <v>8</v>
      </c>
      <c r="B1862" s="777" t="s">
        <v>607</v>
      </c>
      <c r="C1862" s="109" t="s">
        <v>500</v>
      </c>
      <c r="D1862" s="48">
        <v>3350986.42</v>
      </c>
      <c r="E1862" s="335" t="s">
        <v>769</v>
      </c>
      <c r="F1862" s="51" t="s">
        <v>743</v>
      </c>
      <c r="G1862" s="49">
        <v>3418445.84</v>
      </c>
      <c r="H1862" s="50">
        <v>42581</v>
      </c>
      <c r="I1862" s="50">
        <v>42535</v>
      </c>
      <c r="J1862" s="51">
        <v>3350986.42</v>
      </c>
    </row>
    <row r="1863" spans="1:10" s="7" customFormat="1" ht="33" outlineLevel="1" x14ac:dyDescent="0.25">
      <c r="A1863" s="768"/>
      <c r="B1863" s="775"/>
      <c r="C1863" s="142" t="s">
        <v>501</v>
      </c>
      <c r="D1863" s="141">
        <v>4870000</v>
      </c>
      <c r="E1863" s="330" t="s">
        <v>1044</v>
      </c>
      <c r="F1863" s="57" t="s">
        <v>787</v>
      </c>
      <c r="G1863" s="331">
        <v>4870000</v>
      </c>
      <c r="H1863" s="55">
        <v>42912</v>
      </c>
      <c r="I1863" s="56"/>
      <c r="J1863" s="57"/>
    </row>
    <row r="1864" spans="1:10" s="7" customFormat="1" ht="33" outlineLevel="1" x14ac:dyDescent="0.25">
      <c r="A1864" s="768"/>
      <c r="B1864" s="775"/>
      <c r="C1864" s="150" t="s">
        <v>37</v>
      </c>
      <c r="D1864" s="151">
        <v>110260.99</v>
      </c>
      <c r="E1864" s="320" t="s">
        <v>616</v>
      </c>
      <c r="F1864" s="155" t="s">
        <v>614</v>
      </c>
      <c r="G1864" s="153">
        <f>93441.52*1.18</f>
        <v>110260.9936</v>
      </c>
      <c r="H1864" s="154">
        <v>42420</v>
      </c>
      <c r="I1864" s="154">
        <v>42627</v>
      </c>
      <c r="J1864" s="155">
        <v>93441.52</v>
      </c>
    </row>
    <row r="1865" spans="1:10" s="7" customFormat="1" ht="17.25" outlineLevel="1" thickBot="1" x14ac:dyDescent="0.3">
      <c r="A1865" s="686" t="s">
        <v>628</v>
      </c>
      <c r="B1865" s="687"/>
      <c r="C1865" s="321"/>
      <c r="D1865" s="222">
        <f>SUM(D1862:D1864)</f>
        <v>8331247.4100000001</v>
      </c>
      <c r="E1865" s="322"/>
      <c r="F1865" s="310"/>
      <c r="G1865" s="323">
        <f>SUM(G1862:G1864)</f>
        <v>8398706.8335999995</v>
      </c>
      <c r="H1865" s="124"/>
      <c r="I1865" s="130"/>
      <c r="J1865" s="222">
        <f t="shared" ref="J1865" si="49">SUM(J1862:J1864)</f>
        <v>3444427.94</v>
      </c>
    </row>
    <row r="1866" spans="1:10" s="5" customFormat="1" ht="33" x14ac:dyDescent="0.25">
      <c r="A1866" s="767">
        <v>9</v>
      </c>
      <c r="B1866" s="779" t="s">
        <v>801</v>
      </c>
      <c r="C1866" s="109" t="s">
        <v>500</v>
      </c>
      <c r="D1866" s="48">
        <v>7686539.4800000004</v>
      </c>
      <c r="E1866" s="335" t="s">
        <v>795</v>
      </c>
      <c r="F1866" s="51" t="s">
        <v>733</v>
      </c>
      <c r="G1866" s="49">
        <v>8524768.4000000004</v>
      </c>
      <c r="H1866" s="50">
        <v>42595</v>
      </c>
      <c r="I1866" s="50">
        <v>42579</v>
      </c>
      <c r="J1866" s="51">
        <v>7686539.4800000004</v>
      </c>
    </row>
    <row r="1867" spans="1:10" s="7" customFormat="1" ht="33" outlineLevel="1" x14ac:dyDescent="0.25">
      <c r="A1867" s="768"/>
      <c r="B1867" s="780"/>
      <c r="C1867" s="150" t="s">
        <v>37</v>
      </c>
      <c r="D1867" s="151">
        <v>99486.67</v>
      </c>
      <c r="E1867" s="320" t="s">
        <v>619</v>
      </c>
      <c r="F1867" s="155" t="s">
        <v>614</v>
      </c>
      <c r="G1867" s="153">
        <f>84310.74*1.18</f>
        <v>99486.673200000005</v>
      </c>
      <c r="H1867" s="154">
        <v>42429</v>
      </c>
      <c r="I1867" s="154">
        <v>42495</v>
      </c>
      <c r="J1867" s="155">
        <v>99486.67</v>
      </c>
    </row>
    <row r="1868" spans="1:10" s="7" customFormat="1" ht="17.25" outlineLevel="1" thickBot="1" x14ac:dyDescent="0.3">
      <c r="A1868" s="686" t="s">
        <v>628</v>
      </c>
      <c r="B1868" s="687"/>
      <c r="C1868" s="321"/>
      <c r="D1868" s="222">
        <f>SUM(D1866:D1867)</f>
        <v>7786026.1500000004</v>
      </c>
      <c r="E1868" s="322"/>
      <c r="F1868" s="310"/>
      <c r="G1868" s="323">
        <f>SUM(G1866:G1867)</f>
        <v>8624255.0732000005</v>
      </c>
      <c r="H1868" s="124"/>
      <c r="I1868" s="130"/>
      <c r="J1868" s="222">
        <f>SUM(J1866:J1867)</f>
        <v>7786026.1500000004</v>
      </c>
    </row>
    <row r="1869" spans="1:10" s="5" customFormat="1" ht="33" x14ac:dyDescent="0.25">
      <c r="A1869" s="765">
        <v>10</v>
      </c>
      <c r="B1869" s="770" t="s">
        <v>387</v>
      </c>
      <c r="C1869" s="109" t="s">
        <v>500</v>
      </c>
      <c r="D1869" s="48">
        <v>4677389.59</v>
      </c>
      <c r="E1869" s="335" t="s">
        <v>959</v>
      </c>
      <c r="F1869" s="51" t="s">
        <v>662</v>
      </c>
      <c r="G1869" s="49">
        <v>4710475.3899999997</v>
      </c>
      <c r="H1869" s="50">
        <v>42653</v>
      </c>
      <c r="I1869" s="50">
        <v>42661</v>
      </c>
      <c r="J1869" s="51">
        <v>4677389.59</v>
      </c>
    </row>
    <row r="1870" spans="1:10" s="7" customFormat="1" ht="33" outlineLevel="1" x14ac:dyDescent="0.25">
      <c r="A1870" s="766"/>
      <c r="B1870" s="771"/>
      <c r="C1870" s="150" t="s">
        <v>37</v>
      </c>
      <c r="D1870" s="151">
        <v>86087.53</v>
      </c>
      <c r="E1870" s="320" t="s">
        <v>619</v>
      </c>
      <c r="F1870" s="155" t="s">
        <v>614</v>
      </c>
      <c r="G1870" s="153">
        <f>72955.53*1.18</f>
        <v>86087.525399999999</v>
      </c>
      <c r="H1870" s="154">
        <v>42429</v>
      </c>
      <c r="I1870" s="154">
        <v>42495</v>
      </c>
      <c r="J1870" s="155">
        <v>86087.53</v>
      </c>
    </row>
    <row r="1871" spans="1:10" s="7" customFormat="1" ht="17.25" outlineLevel="1" thickBot="1" x14ac:dyDescent="0.3">
      <c r="A1871" s="724" t="s">
        <v>628</v>
      </c>
      <c r="B1871" s="725"/>
      <c r="C1871" s="284"/>
      <c r="D1871" s="222">
        <f>SUM(D1869:D1870)</f>
        <v>4763477.12</v>
      </c>
      <c r="E1871" s="332"/>
      <c r="F1871" s="125"/>
      <c r="G1871" s="323">
        <f>SUM(G1869:G1870)</f>
        <v>4796562.9153999994</v>
      </c>
      <c r="H1871" s="123"/>
      <c r="I1871" s="108"/>
      <c r="J1871" s="222">
        <f>SUM(J1869:J1870)</f>
        <v>4763477.12</v>
      </c>
    </row>
    <row r="1872" spans="1:10" s="5" customFormat="1" ht="33" x14ac:dyDescent="0.25">
      <c r="A1872" s="765">
        <v>11</v>
      </c>
      <c r="B1872" s="770" t="s">
        <v>388</v>
      </c>
      <c r="C1872" s="109" t="s">
        <v>500</v>
      </c>
      <c r="D1872" s="48">
        <v>3582954.8</v>
      </c>
      <c r="E1872" s="335" t="s">
        <v>947</v>
      </c>
      <c r="F1872" s="51" t="s">
        <v>662</v>
      </c>
      <c r="G1872" s="49">
        <v>3826414.8</v>
      </c>
      <c r="H1872" s="50">
        <v>42663</v>
      </c>
      <c r="I1872" s="50">
        <v>42646</v>
      </c>
      <c r="J1872" s="51">
        <v>3582954.8</v>
      </c>
    </row>
    <row r="1873" spans="1:10" s="7" customFormat="1" ht="33" outlineLevel="1" x14ac:dyDescent="0.25">
      <c r="A1873" s="766"/>
      <c r="B1873" s="771"/>
      <c r="C1873" s="150" t="s">
        <v>37</v>
      </c>
      <c r="D1873" s="151">
        <v>70674.929999999993</v>
      </c>
      <c r="E1873" s="320" t="s">
        <v>620</v>
      </c>
      <c r="F1873" s="155" t="s">
        <v>614</v>
      </c>
      <c r="G1873" s="153">
        <f>59894.01*1.18</f>
        <v>70674.931800000006</v>
      </c>
      <c r="H1873" s="154">
        <v>42429</v>
      </c>
      <c r="I1873" s="154">
        <v>42495</v>
      </c>
      <c r="J1873" s="155">
        <v>70674.929999999993</v>
      </c>
    </row>
    <row r="1874" spans="1:10" s="7" customFormat="1" ht="17.25" outlineLevel="1" thickBot="1" x14ac:dyDescent="0.3">
      <c r="A1874" s="686" t="s">
        <v>628</v>
      </c>
      <c r="B1874" s="687"/>
      <c r="C1874" s="321"/>
      <c r="D1874" s="222">
        <f>SUM(D1872:D1873)</f>
        <v>3653629.73</v>
      </c>
      <c r="E1874" s="322"/>
      <c r="F1874" s="310"/>
      <c r="G1874" s="323">
        <f>SUM(G1872:G1873)</f>
        <v>3897089.7317999997</v>
      </c>
      <c r="H1874" s="124"/>
      <c r="I1874" s="130"/>
      <c r="J1874" s="222">
        <f>SUM(J1872:J1873)</f>
        <v>3653629.73</v>
      </c>
    </row>
    <row r="1875" spans="1:10" s="5" customFormat="1" ht="33" x14ac:dyDescent="0.25">
      <c r="A1875" s="765">
        <v>12</v>
      </c>
      <c r="B1875" s="770" t="s">
        <v>389</v>
      </c>
      <c r="C1875" s="109" t="s">
        <v>500</v>
      </c>
      <c r="D1875" s="48">
        <v>3369308.76</v>
      </c>
      <c r="E1875" s="335" t="s">
        <v>959</v>
      </c>
      <c r="F1875" s="51" t="s">
        <v>662</v>
      </c>
      <c r="G1875" s="49">
        <v>3124271.55</v>
      </c>
      <c r="H1875" s="50">
        <v>42653</v>
      </c>
      <c r="I1875" s="50">
        <v>42653</v>
      </c>
      <c r="J1875" s="51">
        <v>3369308.76</v>
      </c>
    </row>
    <row r="1876" spans="1:10" s="7" customFormat="1" ht="33" outlineLevel="1" x14ac:dyDescent="0.25">
      <c r="A1876" s="766"/>
      <c r="B1876" s="771"/>
      <c r="C1876" s="150" t="s">
        <v>37</v>
      </c>
      <c r="D1876" s="151">
        <v>79325.440000000002</v>
      </c>
      <c r="E1876" s="320" t="s">
        <v>620</v>
      </c>
      <c r="F1876" s="155" t="s">
        <v>614</v>
      </c>
      <c r="G1876" s="153">
        <f>67224.95*1.18</f>
        <v>79325.440999999992</v>
      </c>
      <c r="H1876" s="154">
        <v>42429</v>
      </c>
      <c r="I1876" s="154">
        <v>42495</v>
      </c>
      <c r="J1876" s="155">
        <v>79325.440000000002</v>
      </c>
    </row>
    <row r="1877" spans="1:10" s="7" customFormat="1" ht="17.25" outlineLevel="1" thickBot="1" x14ac:dyDescent="0.3">
      <c r="A1877" s="686" t="s">
        <v>628</v>
      </c>
      <c r="B1877" s="687"/>
      <c r="C1877" s="321"/>
      <c r="D1877" s="222">
        <f>SUM(D1875:D1876)</f>
        <v>3448634.1999999997</v>
      </c>
      <c r="E1877" s="322"/>
      <c r="F1877" s="310"/>
      <c r="G1877" s="323">
        <f>SUM(G1875:G1876)</f>
        <v>3203596.9909999999</v>
      </c>
      <c r="H1877" s="124"/>
      <c r="I1877" s="130"/>
      <c r="J1877" s="222">
        <f>SUM(J1875:J1876)</f>
        <v>3448634.1999999997</v>
      </c>
    </row>
    <row r="1878" spans="1:10" s="5" customFormat="1" ht="30" customHeight="1" x14ac:dyDescent="0.25">
      <c r="A1878" s="765">
        <v>13</v>
      </c>
      <c r="B1878" s="770" t="s">
        <v>390</v>
      </c>
      <c r="C1878" s="109" t="s">
        <v>500</v>
      </c>
      <c r="D1878" s="48">
        <v>5384253.1799999904</v>
      </c>
      <c r="E1878" s="335" t="s">
        <v>842</v>
      </c>
      <c r="F1878" s="51" t="s">
        <v>723</v>
      </c>
      <c r="G1878" s="49">
        <v>6200000</v>
      </c>
      <c r="H1878" s="50">
        <v>42607</v>
      </c>
      <c r="I1878" s="50">
        <v>42605</v>
      </c>
      <c r="J1878" s="51">
        <v>5384253.1799999997</v>
      </c>
    </row>
    <row r="1879" spans="1:10" s="7" customFormat="1" ht="33" outlineLevel="1" x14ac:dyDescent="0.25">
      <c r="A1879" s="766"/>
      <c r="B1879" s="771"/>
      <c r="C1879" s="150" t="s">
        <v>37</v>
      </c>
      <c r="D1879" s="151">
        <v>86550.9</v>
      </c>
      <c r="E1879" s="320" t="s">
        <v>620</v>
      </c>
      <c r="F1879" s="155" t="s">
        <v>614</v>
      </c>
      <c r="G1879" s="153">
        <f>73348.22*1.18</f>
        <v>86550.89959999999</v>
      </c>
      <c r="H1879" s="154">
        <v>42429</v>
      </c>
      <c r="I1879" s="154">
        <v>42495</v>
      </c>
      <c r="J1879" s="155">
        <v>86550.9</v>
      </c>
    </row>
    <row r="1880" spans="1:10" s="7" customFormat="1" ht="17.25" outlineLevel="1" thickBot="1" x14ac:dyDescent="0.3">
      <c r="A1880" s="686" t="s">
        <v>628</v>
      </c>
      <c r="B1880" s="687"/>
      <c r="C1880" s="321"/>
      <c r="D1880" s="222">
        <f>SUM(D1878:D1879)</f>
        <v>5470804.0799999908</v>
      </c>
      <c r="E1880" s="322"/>
      <c r="F1880" s="310"/>
      <c r="G1880" s="323">
        <f>SUM(G1878:G1879)</f>
        <v>6286550.8996000001</v>
      </c>
      <c r="H1880" s="124"/>
      <c r="I1880" s="130"/>
      <c r="J1880" s="222">
        <f>SUM(J1878:J1879)</f>
        <v>5470804.0800000001</v>
      </c>
    </row>
    <row r="1881" spans="1:10" s="5" customFormat="1" ht="33" customHeight="1" x14ac:dyDescent="0.25">
      <c r="A1881" s="765">
        <v>14</v>
      </c>
      <c r="B1881" s="770" t="s">
        <v>391</v>
      </c>
      <c r="C1881" s="109" t="s">
        <v>500</v>
      </c>
      <c r="D1881" s="48">
        <v>3966474.28</v>
      </c>
      <c r="E1881" s="335" t="s">
        <v>947</v>
      </c>
      <c r="F1881" s="51" t="s">
        <v>662</v>
      </c>
      <c r="G1881" s="49">
        <v>4746216.0199999996</v>
      </c>
      <c r="H1881" s="50">
        <v>42663</v>
      </c>
      <c r="I1881" s="50">
        <v>42619</v>
      </c>
      <c r="J1881" s="51">
        <v>3966474.28</v>
      </c>
    </row>
    <row r="1882" spans="1:10" s="7" customFormat="1" ht="33" outlineLevel="1" x14ac:dyDescent="0.25">
      <c r="A1882" s="766"/>
      <c r="B1882" s="771"/>
      <c r="C1882" s="150" t="s">
        <v>37</v>
      </c>
      <c r="D1882" s="151">
        <v>86550.9</v>
      </c>
      <c r="E1882" s="320" t="s">
        <v>620</v>
      </c>
      <c r="F1882" s="155" t="s">
        <v>614</v>
      </c>
      <c r="G1882" s="153">
        <f>73348.22*1.18</f>
        <v>86550.89959999999</v>
      </c>
      <c r="H1882" s="154">
        <v>42429</v>
      </c>
      <c r="I1882" s="154">
        <v>42495</v>
      </c>
      <c r="J1882" s="155">
        <v>86550.9</v>
      </c>
    </row>
    <row r="1883" spans="1:10" s="7" customFormat="1" ht="17.25" outlineLevel="1" thickBot="1" x14ac:dyDescent="0.3">
      <c r="A1883" s="686" t="s">
        <v>628</v>
      </c>
      <c r="B1883" s="687"/>
      <c r="C1883" s="321"/>
      <c r="D1883" s="222">
        <f>SUM(D1881:D1882)</f>
        <v>4053025.1799999997</v>
      </c>
      <c r="E1883" s="322"/>
      <c r="F1883" s="310"/>
      <c r="G1883" s="323">
        <f>SUM(G1881:G1882)</f>
        <v>4832766.9195999997</v>
      </c>
      <c r="H1883" s="124"/>
      <c r="I1883" s="130"/>
      <c r="J1883" s="222">
        <f>SUM(J1881:J1882)</f>
        <v>4053025.1799999997</v>
      </c>
    </row>
    <row r="1884" spans="1:10" s="5" customFormat="1" ht="31.5" customHeight="1" x14ac:dyDescent="0.25">
      <c r="A1884" s="765">
        <v>15</v>
      </c>
      <c r="B1884" s="770" t="s">
        <v>392</v>
      </c>
      <c r="C1884" s="109" t="s">
        <v>500</v>
      </c>
      <c r="D1884" s="48">
        <v>9690573.9700000007</v>
      </c>
      <c r="E1884" s="335" t="s">
        <v>947</v>
      </c>
      <c r="F1884" s="51" t="s">
        <v>662</v>
      </c>
      <c r="G1884" s="49">
        <v>9690573.9700000007</v>
      </c>
      <c r="H1884" s="50">
        <v>42663</v>
      </c>
      <c r="I1884" s="50">
        <v>42672</v>
      </c>
      <c r="J1884" s="51">
        <v>9216935.5600000005</v>
      </c>
    </row>
    <row r="1885" spans="1:10" s="7" customFormat="1" ht="33" outlineLevel="1" x14ac:dyDescent="0.25">
      <c r="A1885" s="766"/>
      <c r="B1885" s="771"/>
      <c r="C1885" s="150" t="s">
        <v>37</v>
      </c>
      <c r="D1885" s="151">
        <v>100266.63</v>
      </c>
      <c r="E1885" s="320" t="s">
        <v>620</v>
      </c>
      <c r="F1885" s="155" t="s">
        <v>614</v>
      </c>
      <c r="G1885" s="153">
        <f>84971.72*1.18</f>
        <v>100266.6296</v>
      </c>
      <c r="H1885" s="154">
        <v>42429</v>
      </c>
      <c r="I1885" s="154">
        <v>42495</v>
      </c>
      <c r="J1885" s="155">
        <v>100266.63</v>
      </c>
    </row>
    <row r="1886" spans="1:10" s="9" customFormat="1" ht="16.5" outlineLevel="1" x14ac:dyDescent="0.25">
      <c r="A1886" s="776"/>
      <c r="B1886" s="799"/>
      <c r="C1886" s="112" t="s">
        <v>1007</v>
      </c>
      <c r="D1886" s="89">
        <v>73570.391890789499</v>
      </c>
      <c r="E1886" s="332"/>
      <c r="F1886" s="125"/>
      <c r="G1886" s="334"/>
      <c r="H1886" s="123"/>
      <c r="I1886" s="123"/>
      <c r="J1886" s="125"/>
    </row>
    <row r="1887" spans="1:10" s="7" customFormat="1" ht="17.25" outlineLevel="1" thickBot="1" x14ac:dyDescent="0.3">
      <c r="A1887" s="686" t="s">
        <v>628</v>
      </c>
      <c r="B1887" s="687"/>
      <c r="C1887" s="321"/>
      <c r="D1887" s="222">
        <f>SUM(D1884:D1886)</f>
        <v>9864410.9918907918</v>
      </c>
      <c r="E1887" s="322"/>
      <c r="F1887" s="310"/>
      <c r="G1887" s="323">
        <f>SUM(G1884:G1885)</f>
        <v>9790840.5996000003</v>
      </c>
      <c r="H1887" s="124"/>
      <c r="I1887" s="130"/>
      <c r="J1887" s="222">
        <f>SUM(J1884:J1885)</f>
        <v>9317202.1900000013</v>
      </c>
    </row>
    <row r="1888" spans="1:10" s="5" customFormat="1" ht="33" x14ac:dyDescent="0.25">
      <c r="A1888" s="765">
        <v>16</v>
      </c>
      <c r="B1888" s="770" t="s">
        <v>608</v>
      </c>
      <c r="C1888" s="109" t="s">
        <v>501</v>
      </c>
      <c r="D1888" s="48">
        <v>8100000</v>
      </c>
      <c r="E1888" s="335" t="s">
        <v>887</v>
      </c>
      <c r="F1888" s="51" t="s">
        <v>773</v>
      </c>
      <c r="G1888" s="49">
        <v>7103000</v>
      </c>
      <c r="H1888" s="50">
        <v>42668</v>
      </c>
      <c r="I1888" s="50">
        <v>42668</v>
      </c>
      <c r="J1888" s="51">
        <v>6234786.4199999999</v>
      </c>
    </row>
    <row r="1889" spans="1:10" s="7" customFormat="1" ht="33" outlineLevel="1" x14ac:dyDescent="0.25">
      <c r="A1889" s="766"/>
      <c r="B1889" s="771"/>
      <c r="C1889" s="150" t="s">
        <v>37</v>
      </c>
      <c r="D1889" s="151">
        <v>101923.43</v>
      </c>
      <c r="E1889" s="320" t="s">
        <v>616</v>
      </c>
      <c r="F1889" s="155" t="s">
        <v>614</v>
      </c>
      <c r="G1889" s="153">
        <f>86375.79*1.18</f>
        <v>101923.43219999998</v>
      </c>
      <c r="H1889" s="154">
        <v>42420</v>
      </c>
      <c r="I1889" s="154">
        <v>42570</v>
      </c>
      <c r="J1889" s="155">
        <v>86375.79</v>
      </c>
    </row>
    <row r="1890" spans="1:10" s="9" customFormat="1" ht="16.5" outlineLevel="1" x14ac:dyDescent="0.25">
      <c r="A1890" s="776"/>
      <c r="B1890" s="799"/>
      <c r="C1890" s="112" t="s">
        <v>1007</v>
      </c>
      <c r="D1890" s="89">
        <v>29762.71891191</v>
      </c>
      <c r="E1890" s="332"/>
      <c r="F1890" s="125"/>
      <c r="G1890" s="334"/>
      <c r="H1890" s="123"/>
      <c r="I1890" s="123"/>
      <c r="J1890" s="125"/>
    </row>
    <row r="1891" spans="1:10" s="7" customFormat="1" ht="17.25" outlineLevel="1" thickBot="1" x14ac:dyDescent="0.3">
      <c r="A1891" s="724" t="s">
        <v>628</v>
      </c>
      <c r="B1891" s="725"/>
      <c r="C1891" s="284"/>
      <c r="D1891" s="222">
        <f>SUM(D1888:D1890)</f>
        <v>8231686.1489119101</v>
      </c>
      <c r="E1891" s="332"/>
      <c r="F1891" s="125"/>
      <c r="G1891" s="323">
        <f>SUM(G1888:G1889)</f>
        <v>7204923.4321999997</v>
      </c>
      <c r="H1891" s="123"/>
      <c r="I1891" s="108"/>
      <c r="J1891" s="222">
        <f>SUM(J1888:J1889)</f>
        <v>6321162.21</v>
      </c>
    </row>
    <row r="1892" spans="1:10" s="5" customFormat="1" ht="31.5" customHeight="1" x14ac:dyDescent="0.25">
      <c r="A1892" s="767">
        <v>17</v>
      </c>
      <c r="B1892" s="769" t="s">
        <v>393</v>
      </c>
      <c r="C1892" s="109" t="s">
        <v>500</v>
      </c>
      <c r="D1892" s="48">
        <v>2685316.23</v>
      </c>
      <c r="E1892" s="335" t="s">
        <v>1028</v>
      </c>
      <c r="F1892" s="51" t="s">
        <v>863</v>
      </c>
      <c r="G1892" s="49">
        <v>2685654.72</v>
      </c>
      <c r="H1892" s="50">
        <v>42681</v>
      </c>
      <c r="I1892" s="50">
        <v>42681</v>
      </c>
      <c r="J1892" s="51">
        <v>2685316.23</v>
      </c>
    </row>
    <row r="1893" spans="1:10" s="7" customFormat="1" ht="33" outlineLevel="1" x14ac:dyDescent="0.25">
      <c r="A1893" s="768"/>
      <c r="B1893" s="764"/>
      <c r="C1893" s="150" t="s">
        <v>37</v>
      </c>
      <c r="D1893" s="151">
        <v>73015.199999999997</v>
      </c>
      <c r="E1893" s="320" t="s">
        <v>620</v>
      </c>
      <c r="F1893" s="155" t="s">
        <v>614</v>
      </c>
      <c r="G1893" s="153">
        <f>61877.29*1.18</f>
        <v>73015.2022</v>
      </c>
      <c r="H1893" s="154">
        <v>42429</v>
      </c>
      <c r="I1893" s="154">
        <v>42495</v>
      </c>
      <c r="J1893" s="155">
        <v>73015.199999999997</v>
      </c>
    </row>
    <row r="1894" spans="1:10" s="7" customFormat="1" ht="17.25" outlineLevel="1" thickBot="1" x14ac:dyDescent="0.3">
      <c r="A1894" s="686" t="s">
        <v>628</v>
      </c>
      <c r="B1894" s="687"/>
      <c r="C1894" s="321"/>
      <c r="D1894" s="222">
        <f>SUM(D1892:D1893)</f>
        <v>2758331.43</v>
      </c>
      <c r="E1894" s="322"/>
      <c r="F1894" s="310"/>
      <c r="G1894" s="323">
        <f>SUM(G1892:G1893)</f>
        <v>2758669.9222000004</v>
      </c>
      <c r="H1894" s="124"/>
      <c r="I1894" s="130"/>
      <c r="J1894" s="222">
        <f>SUM(J1892:J1893)</f>
        <v>2758331.43</v>
      </c>
    </row>
    <row r="1895" spans="1:10" s="5" customFormat="1" ht="37.5" customHeight="1" x14ac:dyDescent="0.25">
      <c r="A1895" s="765">
        <v>18</v>
      </c>
      <c r="B1895" s="852" t="s">
        <v>394</v>
      </c>
      <c r="C1895" s="48" t="s">
        <v>38</v>
      </c>
      <c r="D1895" s="73">
        <v>1672139.36</v>
      </c>
      <c r="E1895" s="421" t="s">
        <v>954</v>
      </c>
      <c r="F1895" s="227" t="s">
        <v>692</v>
      </c>
      <c r="G1895" s="49">
        <v>1712270</v>
      </c>
      <c r="H1895" s="50">
        <v>42633</v>
      </c>
      <c r="I1895" s="50">
        <v>42622</v>
      </c>
      <c r="J1895" s="51">
        <v>1672139.36</v>
      </c>
    </row>
    <row r="1896" spans="1:10" s="7" customFormat="1" ht="33" outlineLevel="1" x14ac:dyDescent="0.25">
      <c r="A1896" s="766"/>
      <c r="B1896" s="853"/>
      <c r="C1896" s="73" t="s">
        <v>34</v>
      </c>
      <c r="D1896" s="73">
        <v>2930646.22</v>
      </c>
      <c r="E1896" s="420" t="s">
        <v>954</v>
      </c>
      <c r="F1896" s="52" t="s">
        <v>692</v>
      </c>
      <c r="G1896" s="245">
        <v>2940706.32</v>
      </c>
      <c r="H1896" s="75">
        <v>42622</v>
      </c>
      <c r="I1896" s="92">
        <v>42622</v>
      </c>
      <c r="J1896" s="52">
        <v>2930646.22</v>
      </c>
    </row>
    <row r="1897" spans="1:10" s="7" customFormat="1" ht="33" outlineLevel="1" x14ac:dyDescent="0.25">
      <c r="A1897" s="766"/>
      <c r="B1897" s="853"/>
      <c r="C1897" s="73" t="s">
        <v>35</v>
      </c>
      <c r="D1897" s="73">
        <v>542923.46</v>
      </c>
      <c r="E1897" s="420" t="s">
        <v>954</v>
      </c>
      <c r="F1897" s="232" t="s">
        <v>692</v>
      </c>
      <c r="G1897" s="74">
        <v>739869</v>
      </c>
      <c r="H1897" s="75">
        <v>42633</v>
      </c>
      <c r="I1897" s="193">
        <v>42622</v>
      </c>
      <c r="J1897" s="52">
        <v>542923.46</v>
      </c>
    </row>
    <row r="1898" spans="1:10" s="7" customFormat="1" ht="33" outlineLevel="1" x14ac:dyDescent="0.25">
      <c r="A1898" s="766"/>
      <c r="B1898" s="853"/>
      <c r="C1898" s="73" t="s">
        <v>36</v>
      </c>
      <c r="D1898" s="422">
        <v>662105.02</v>
      </c>
      <c r="E1898" s="328" t="s">
        <v>1071</v>
      </c>
      <c r="F1898" s="52" t="s">
        <v>692</v>
      </c>
      <c r="G1898" s="74">
        <v>685700</v>
      </c>
      <c r="H1898" s="75">
        <v>42704</v>
      </c>
      <c r="I1898" s="75">
        <v>42664</v>
      </c>
      <c r="J1898" s="52">
        <v>662105.02</v>
      </c>
    </row>
    <row r="1899" spans="1:10" s="7" customFormat="1" ht="33" outlineLevel="1" x14ac:dyDescent="0.25">
      <c r="A1899" s="766"/>
      <c r="B1899" s="853"/>
      <c r="C1899" s="150" t="s">
        <v>37</v>
      </c>
      <c r="D1899" s="151">
        <v>239388.21</v>
      </c>
      <c r="E1899" s="320" t="s">
        <v>621</v>
      </c>
      <c r="F1899" s="155" t="s">
        <v>614</v>
      </c>
      <c r="G1899" s="153">
        <f>202871.38*1.18</f>
        <v>239388.22839999999</v>
      </c>
      <c r="H1899" s="154">
        <v>42384</v>
      </c>
      <c r="I1899" s="154">
        <v>42571</v>
      </c>
      <c r="J1899" s="155">
        <v>152153.54</v>
      </c>
    </row>
    <row r="1900" spans="1:10" s="7" customFormat="1" ht="17.25" outlineLevel="1" thickBot="1" x14ac:dyDescent="0.3">
      <c r="A1900" s="686" t="s">
        <v>628</v>
      </c>
      <c r="B1900" s="687"/>
      <c r="C1900" s="223"/>
      <c r="D1900" s="222">
        <f>SUM(D1895:D1899)</f>
        <v>6047202.2700000005</v>
      </c>
      <c r="E1900" s="322"/>
      <c r="F1900" s="310"/>
      <c r="G1900" s="323">
        <f>SUM(G1895:G1899)</f>
        <v>6317933.5484000007</v>
      </c>
      <c r="H1900" s="124"/>
      <c r="I1900" s="130"/>
      <c r="J1900" s="222">
        <f>SUM(J1895:J1899)</f>
        <v>5959967.6000000006</v>
      </c>
    </row>
    <row r="1901" spans="1:10" s="5" customFormat="1" ht="33" x14ac:dyDescent="0.25">
      <c r="A1901" s="765">
        <v>19</v>
      </c>
      <c r="B1901" s="770" t="s">
        <v>395</v>
      </c>
      <c r="C1901" s="109" t="s">
        <v>500</v>
      </c>
      <c r="D1901" s="48">
        <v>8494709.0700000003</v>
      </c>
      <c r="E1901" s="335" t="s">
        <v>947</v>
      </c>
      <c r="F1901" s="51" t="s">
        <v>662</v>
      </c>
      <c r="G1901" s="49">
        <v>8781444.9900000002</v>
      </c>
      <c r="H1901" s="50">
        <v>42663</v>
      </c>
      <c r="I1901" s="50">
        <v>42661</v>
      </c>
      <c r="J1901" s="51">
        <v>8494709.0700000003</v>
      </c>
    </row>
    <row r="1902" spans="1:10" s="7" customFormat="1" ht="33" x14ac:dyDescent="0.25">
      <c r="A1902" s="766"/>
      <c r="B1902" s="771"/>
      <c r="C1902" s="150" t="s">
        <v>37</v>
      </c>
      <c r="D1902" s="151">
        <v>87050.05</v>
      </c>
      <c r="E1902" s="320" t="s">
        <v>620</v>
      </c>
      <c r="F1902" s="155" t="s">
        <v>614</v>
      </c>
      <c r="G1902" s="153">
        <f>73771.23*1.18</f>
        <v>87050.051399999997</v>
      </c>
      <c r="H1902" s="154">
        <v>42429</v>
      </c>
      <c r="I1902" s="154">
        <v>42495</v>
      </c>
      <c r="J1902" s="155">
        <v>87050.05</v>
      </c>
    </row>
    <row r="1903" spans="1:10" s="7" customFormat="1" ht="16.5" x14ac:dyDescent="0.25">
      <c r="A1903" s="724" t="s">
        <v>628</v>
      </c>
      <c r="B1903" s="725"/>
      <c r="C1903" s="284"/>
      <c r="D1903" s="269">
        <f>SUM(D1901:D1902)</f>
        <v>8581759.120000001</v>
      </c>
      <c r="E1903" s="332"/>
      <c r="F1903" s="125"/>
      <c r="G1903" s="333">
        <f>SUM(G1901:G1902)</f>
        <v>8868495.0414000005</v>
      </c>
      <c r="H1903" s="123"/>
      <c r="I1903" s="108"/>
      <c r="J1903" s="269">
        <f>SUM(J1901:J1902)</f>
        <v>8581759.120000001</v>
      </c>
    </row>
    <row r="1904" spans="1:10" s="5" customFormat="1" ht="33" x14ac:dyDescent="0.25">
      <c r="A1904" s="787">
        <v>20</v>
      </c>
      <c r="B1904" s="764" t="s">
        <v>396</v>
      </c>
      <c r="C1904" s="110" t="s">
        <v>500</v>
      </c>
      <c r="D1904" s="73">
        <v>3854903.94</v>
      </c>
      <c r="E1904" s="420" t="s">
        <v>947</v>
      </c>
      <c r="F1904" s="52" t="s">
        <v>662</v>
      </c>
      <c r="G1904" s="73">
        <v>3854903.94</v>
      </c>
      <c r="H1904" s="75">
        <v>42663</v>
      </c>
      <c r="I1904" s="75">
        <v>42672</v>
      </c>
      <c r="J1904" s="52">
        <v>3354139.77</v>
      </c>
    </row>
    <row r="1905" spans="1:10" s="7" customFormat="1" ht="33" x14ac:dyDescent="0.25">
      <c r="A1905" s="787"/>
      <c r="B1905" s="764"/>
      <c r="C1905" s="150" t="s">
        <v>37</v>
      </c>
      <c r="D1905" s="151">
        <v>85865.83</v>
      </c>
      <c r="E1905" s="320" t="s">
        <v>620</v>
      </c>
      <c r="F1905" s="155" t="s">
        <v>614</v>
      </c>
      <c r="G1905" s="151">
        <f>72767.65*1.18</f>
        <v>85865.82699999999</v>
      </c>
      <c r="H1905" s="154">
        <v>42429</v>
      </c>
      <c r="I1905" s="154">
        <v>42495</v>
      </c>
      <c r="J1905" s="155">
        <v>85865.83</v>
      </c>
    </row>
    <row r="1906" spans="1:10" s="9" customFormat="1" ht="16.5" outlineLevel="1" x14ac:dyDescent="0.25">
      <c r="A1906" s="787"/>
      <c r="B1906" s="764"/>
      <c r="C1906" s="254" t="s">
        <v>1007</v>
      </c>
      <c r="D1906" s="53">
        <v>29606.604603297299</v>
      </c>
      <c r="E1906" s="330"/>
      <c r="F1906" s="57"/>
      <c r="G1906" s="53"/>
      <c r="H1906" s="55"/>
      <c r="I1906" s="55"/>
      <c r="J1906" s="57"/>
    </row>
    <row r="1907" spans="1:10" s="7" customFormat="1" ht="16.5" x14ac:dyDescent="0.25">
      <c r="A1907" s="778"/>
      <c r="B1907" s="778"/>
      <c r="C1907" s="142"/>
      <c r="D1907" s="430">
        <f>SUM(D1904:D1906)</f>
        <v>3970376.3746032971</v>
      </c>
      <c r="E1907" s="427"/>
      <c r="F1907" s="428"/>
      <c r="G1907" s="430">
        <f>SUM(G1904:G1905)</f>
        <v>3940769.767</v>
      </c>
      <c r="H1907" s="426"/>
      <c r="I1907" s="56"/>
      <c r="J1907" s="436">
        <f>SUM(J1904:J1905)</f>
        <v>3440005.6</v>
      </c>
    </row>
    <row r="1908" spans="1:10" s="5" customFormat="1" ht="33" x14ac:dyDescent="0.25">
      <c r="A1908" s="787">
        <v>37</v>
      </c>
      <c r="B1908" s="775" t="s">
        <v>397</v>
      </c>
      <c r="C1908" s="110" t="s">
        <v>500</v>
      </c>
      <c r="D1908" s="73">
        <v>13285162.01</v>
      </c>
      <c r="E1908" s="433" t="s">
        <v>785</v>
      </c>
      <c r="F1908" s="432" t="s">
        <v>660</v>
      </c>
      <c r="G1908" s="73">
        <v>12949147.720000001</v>
      </c>
      <c r="H1908" s="434">
        <v>42567</v>
      </c>
      <c r="I1908" s="434">
        <v>42585</v>
      </c>
      <c r="J1908" s="432">
        <v>13285162.01</v>
      </c>
    </row>
    <row r="1909" spans="1:10" s="7" customFormat="1" ht="33" x14ac:dyDescent="0.25">
      <c r="A1909" s="787"/>
      <c r="B1909" s="775"/>
      <c r="C1909" s="150" t="s">
        <v>37</v>
      </c>
      <c r="D1909" s="151">
        <v>105350.65</v>
      </c>
      <c r="E1909" s="320" t="s">
        <v>621</v>
      </c>
      <c r="F1909" s="155" t="s">
        <v>614</v>
      </c>
      <c r="G1909" s="151">
        <f>89280.22*1.18</f>
        <v>105350.6596</v>
      </c>
      <c r="H1909" s="154">
        <v>42384</v>
      </c>
      <c r="I1909" s="154">
        <v>42472</v>
      </c>
      <c r="J1909" s="155">
        <v>89280.22</v>
      </c>
    </row>
    <row r="1910" spans="1:10" s="7" customFormat="1" ht="16.5" x14ac:dyDescent="0.25">
      <c r="A1910" s="778" t="s">
        <v>628</v>
      </c>
      <c r="B1910" s="778"/>
      <c r="C1910" s="142"/>
      <c r="D1910" s="430">
        <f>SUM(D1908:D1909)</f>
        <v>13390512.66</v>
      </c>
      <c r="E1910" s="427"/>
      <c r="F1910" s="428"/>
      <c r="G1910" s="430">
        <f>SUM(G1908:G1909)</f>
        <v>13054498.379600001</v>
      </c>
      <c r="H1910" s="426"/>
      <c r="I1910" s="56"/>
      <c r="J1910" s="436">
        <f>SUM(J1908:J1909)</f>
        <v>13374442.23</v>
      </c>
    </row>
    <row r="1911" spans="1:10" s="5" customFormat="1" ht="33" x14ac:dyDescent="0.25">
      <c r="A1911" s="787">
        <v>38</v>
      </c>
      <c r="B1911" s="764" t="s">
        <v>398</v>
      </c>
      <c r="C1911" s="110" t="s">
        <v>500</v>
      </c>
      <c r="D1911" s="73">
        <v>5406436.6799999997</v>
      </c>
      <c r="E1911" s="433" t="s">
        <v>1000</v>
      </c>
      <c r="F1911" s="432" t="s">
        <v>669</v>
      </c>
      <c r="G1911" s="73">
        <v>5406436.6799999997</v>
      </c>
      <c r="H1911" s="434">
        <v>42674</v>
      </c>
      <c r="I1911" s="434">
        <v>42719</v>
      </c>
      <c r="J1911" s="432">
        <v>5142450.62</v>
      </c>
    </row>
    <row r="1912" spans="1:10" s="7" customFormat="1" ht="33" x14ac:dyDescent="0.25">
      <c r="A1912" s="787"/>
      <c r="B1912" s="764"/>
      <c r="C1912" s="150" t="s">
        <v>37</v>
      </c>
      <c r="D1912" s="151">
        <v>82359.94</v>
      </c>
      <c r="E1912" s="320" t="s">
        <v>620</v>
      </c>
      <c r="F1912" s="155" t="s">
        <v>614</v>
      </c>
      <c r="G1912" s="151">
        <f>69796.56*1.18</f>
        <v>82359.940799999997</v>
      </c>
      <c r="H1912" s="154">
        <v>42429</v>
      </c>
      <c r="I1912" s="154">
        <v>42495</v>
      </c>
      <c r="J1912" s="155">
        <v>82359.94</v>
      </c>
    </row>
    <row r="1913" spans="1:10" s="9" customFormat="1" ht="16.5" outlineLevel="1" x14ac:dyDescent="0.25">
      <c r="A1913" s="787"/>
      <c r="B1913" s="764"/>
      <c r="C1913" s="254" t="s">
        <v>1007</v>
      </c>
      <c r="D1913" s="53">
        <v>52218.4622302063</v>
      </c>
      <c r="E1913" s="427"/>
      <c r="F1913" s="428"/>
      <c r="G1913" s="53"/>
      <c r="H1913" s="426"/>
      <c r="I1913" s="426"/>
      <c r="J1913" s="428"/>
    </row>
    <row r="1914" spans="1:10" s="7" customFormat="1" ht="16.5" x14ac:dyDescent="0.25">
      <c r="A1914" s="778" t="s">
        <v>628</v>
      </c>
      <c r="B1914" s="778"/>
      <c r="C1914" s="142"/>
      <c r="D1914" s="430">
        <f>SUM(D1911:D1913)</f>
        <v>5541015.0822302066</v>
      </c>
      <c r="E1914" s="427"/>
      <c r="F1914" s="428"/>
      <c r="G1914" s="430">
        <f>SUM(G1911:G1912)</f>
        <v>5488796.6207999997</v>
      </c>
      <c r="H1914" s="426"/>
      <c r="I1914" s="56"/>
      <c r="J1914" s="436">
        <f>SUM(J1911:J1912)</f>
        <v>5224810.5600000005</v>
      </c>
    </row>
    <row r="1915" spans="1:10" s="5" customFormat="1" ht="33" x14ac:dyDescent="0.25">
      <c r="A1915" s="787">
        <v>39</v>
      </c>
      <c r="B1915" s="798" t="s">
        <v>969</v>
      </c>
      <c r="C1915" s="110" t="s">
        <v>500</v>
      </c>
      <c r="D1915" s="73">
        <v>7146609.8200000003</v>
      </c>
      <c r="E1915" s="433" t="s">
        <v>943</v>
      </c>
      <c r="F1915" s="432" t="s">
        <v>944</v>
      </c>
      <c r="G1915" s="73">
        <v>7146609.8200000003</v>
      </c>
      <c r="H1915" s="434">
        <v>42636</v>
      </c>
      <c r="I1915" s="434">
        <v>42672</v>
      </c>
      <c r="J1915" s="432">
        <v>6767183.1799999997</v>
      </c>
    </row>
    <row r="1916" spans="1:10" s="7" customFormat="1" ht="33" x14ac:dyDescent="0.25">
      <c r="A1916" s="787"/>
      <c r="B1916" s="798"/>
      <c r="C1916" s="150" t="s">
        <v>37</v>
      </c>
      <c r="D1916" s="151">
        <v>99995.45</v>
      </c>
      <c r="E1916" s="320" t="s">
        <v>621</v>
      </c>
      <c r="F1916" s="155" t="s">
        <v>614</v>
      </c>
      <c r="G1916" s="151">
        <f>84741.91*1.18</f>
        <v>99995.453800000003</v>
      </c>
      <c r="H1916" s="154">
        <v>42384</v>
      </c>
      <c r="I1916" s="154">
        <v>42452</v>
      </c>
      <c r="J1916" s="155">
        <v>84741.91</v>
      </c>
    </row>
    <row r="1917" spans="1:10" s="9" customFormat="1" ht="16.5" outlineLevel="1" x14ac:dyDescent="0.25">
      <c r="A1917" s="787"/>
      <c r="B1917" s="798"/>
      <c r="C1917" s="254" t="s">
        <v>1007</v>
      </c>
      <c r="D1917" s="53">
        <v>53643.987074362398</v>
      </c>
      <c r="E1917" s="427"/>
      <c r="F1917" s="428"/>
      <c r="G1917" s="53"/>
      <c r="H1917" s="426"/>
      <c r="I1917" s="426"/>
      <c r="J1917" s="428"/>
    </row>
    <row r="1918" spans="1:10" s="7" customFormat="1" ht="16.5" x14ac:dyDescent="0.25">
      <c r="A1918" s="778" t="s">
        <v>628</v>
      </c>
      <c r="B1918" s="778"/>
      <c r="C1918" s="142"/>
      <c r="D1918" s="430">
        <f>SUM(D1915:D1917)</f>
        <v>7300249.2570743626</v>
      </c>
      <c r="E1918" s="427"/>
      <c r="F1918" s="428"/>
      <c r="G1918" s="430">
        <f>SUM(G1915:G1916)</f>
        <v>7246605.2738000005</v>
      </c>
      <c r="H1918" s="426"/>
      <c r="I1918" s="56"/>
      <c r="J1918" s="436">
        <f>SUM(J1915:J1916)</f>
        <v>6851925.0899999999</v>
      </c>
    </row>
    <row r="1919" spans="1:10" s="25" customFormat="1" ht="33" x14ac:dyDescent="0.25">
      <c r="A1919" s="787">
        <v>40</v>
      </c>
      <c r="B1919" s="775" t="s">
        <v>399</v>
      </c>
      <c r="C1919" s="110" t="s">
        <v>500</v>
      </c>
      <c r="D1919" s="73">
        <v>7628792.7300000004</v>
      </c>
      <c r="E1919" s="433" t="s">
        <v>858</v>
      </c>
      <c r="F1919" s="432" t="s">
        <v>859</v>
      </c>
      <c r="G1919" s="73">
        <v>11921781.9</v>
      </c>
      <c r="H1919" s="434">
        <v>42618</v>
      </c>
      <c r="I1919" s="434">
        <v>42599</v>
      </c>
      <c r="J1919" s="432">
        <v>7628792.7300000004</v>
      </c>
    </row>
    <row r="1920" spans="1:10" s="7" customFormat="1" ht="33" x14ac:dyDescent="0.25">
      <c r="A1920" s="787"/>
      <c r="B1920" s="775"/>
      <c r="C1920" s="150" t="s">
        <v>37</v>
      </c>
      <c r="D1920" s="151">
        <v>106606.93</v>
      </c>
      <c r="E1920" s="320" t="s">
        <v>621</v>
      </c>
      <c r="F1920" s="155" t="s">
        <v>614</v>
      </c>
      <c r="G1920" s="151">
        <v>106606.93</v>
      </c>
      <c r="H1920" s="154">
        <v>42384</v>
      </c>
      <c r="I1920" s="154">
        <v>42475</v>
      </c>
      <c r="J1920" s="155">
        <v>90344.86</v>
      </c>
    </row>
    <row r="1921" spans="1:10" s="7" customFormat="1" ht="16.5" x14ac:dyDescent="0.25">
      <c r="A1921" s="778" t="s">
        <v>628</v>
      </c>
      <c r="B1921" s="778"/>
      <c r="C1921" s="142"/>
      <c r="D1921" s="430">
        <f>SUM(D1919:D1920)</f>
        <v>7735399.6600000001</v>
      </c>
      <c r="E1921" s="427"/>
      <c r="F1921" s="428"/>
      <c r="G1921" s="430">
        <f>SUM(G1919:G1920)</f>
        <v>12028388.83</v>
      </c>
      <c r="H1921" s="426"/>
      <c r="I1921" s="56"/>
      <c r="J1921" s="436">
        <f>SUM(J1919:J1920)</f>
        <v>7719137.5900000008</v>
      </c>
    </row>
    <row r="1922" spans="1:10" s="5" customFormat="1" ht="33" x14ac:dyDescent="0.25">
      <c r="A1922" s="787">
        <v>41</v>
      </c>
      <c r="B1922" s="775" t="s">
        <v>32</v>
      </c>
      <c r="C1922" s="142" t="s">
        <v>501</v>
      </c>
      <c r="D1922" s="141">
        <v>23555496.2999999</v>
      </c>
      <c r="E1922" s="427" t="s">
        <v>1069</v>
      </c>
      <c r="F1922" s="428" t="s">
        <v>669</v>
      </c>
      <c r="G1922" s="141">
        <v>23555496.300000001</v>
      </c>
      <c r="H1922" s="426">
        <v>42917</v>
      </c>
      <c r="I1922" s="438"/>
      <c r="J1922" s="428"/>
    </row>
    <row r="1923" spans="1:10" s="5" customFormat="1" ht="33" x14ac:dyDescent="0.25">
      <c r="A1923" s="787"/>
      <c r="B1923" s="775"/>
      <c r="C1923" s="150" t="s">
        <v>37</v>
      </c>
      <c r="D1923" s="151">
        <v>102920</v>
      </c>
      <c r="E1923" s="320" t="s">
        <v>621</v>
      </c>
      <c r="F1923" s="155" t="s">
        <v>614</v>
      </c>
      <c r="G1923" s="151">
        <f>87217.85*1.18</f>
        <v>102917.06299999999</v>
      </c>
      <c r="H1923" s="154">
        <v>42384</v>
      </c>
      <c r="I1923" s="154">
        <v>42527</v>
      </c>
      <c r="J1923" s="155">
        <v>87217.85</v>
      </c>
    </row>
    <row r="1924" spans="1:10" s="7" customFormat="1" ht="16.5" x14ac:dyDescent="0.25">
      <c r="A1924" s="778" t="s">
        <v>628</v>
      </c>
      <c r="B1924" s="778"/>
      <c r="C1924" s="142"/>
      <c r="D1924" s="430">
        <f>SUM(D1922:D1923)</f>
        <v>23658416.2999999</v>
      </c>
      <c r="E1924" s="427"/>
      <c r="F1924" s="428"/>
      <c r="G1924" s="430">
        <f>SUM(G1922:G1923)</f>
        <v>23658413.363000002</v>
      </c>
      <c r="H1924" s="426"/>
      <c r="I1924" s="56"/>
      <c r="J1924" s="436">
        <f>SUM(J1922:J1923)</f>
        <v>87217.85</v>
      </c>
    </row>
    <row r="1925" spans="1:10" s="5" customFormat="1" ht="33" x14ac:dyDescent="0.25">
      <c r="A1925" s="787">
        <v>42</v>
      </c>
      <c r="B1925" s="764" t="s">
        <v>400</v>
      </c>
      <c r="C1925" s="110" t="s">
        <v>500</v>
      </c>
      <c r="D1925" s="73">
        <v>10614700.619999999</v>
      </c>
      <c r="E1925" s="433" t="s">
        <v>705</v>
      </c>
      <c r="F1925" s="432" t="s">
        <v>660</v>
      </c>
      <c r="G1925" s="73">
        <v>10183896.779999999</v>
      </c>
      <c r="H1925" s="434">
        <v>42520</v>
      </c>
      <c r="I1925" s="434">
        <v>42528</v>
      </c>
      <c r="J1925" s="432">
        <v>10614700.619999999</v>
      </c>
    </row>
    <row r="1926" spans="1:10" s="7" customFormat="1" ht="33" x14ac:dyDescent="0.25">
      <c r="A1926" s="787"/>
      <c r="B1926" s="764"/>
      <c r="C1926" s="150" t="s">
        <v>37</v>
      </c>
      <c r="D1926" s="151">
        <v>104667.07</v>
      </c>
      <c r="E1926" s="320" t="s">
        <v>620</v>
      </c>
      <c r="F1926" s="155" t="s">
        <v>614</v>
      </c>
      <c r="G1926" s="151">
        <f>88700.91*1.18</f>
        <v>104667.0738</v>
      </c>
      <c r="H1926" s="154">
        <v>42429</v>
      </c>
      <c r="I1926" s="154">
        <v>42495</v>
      </c>
      <c r="J1926" s="155">
        <v>104667.07</v>
      </c>
    </row>
    <row r="1927" spans="1:10" s="7" customFormat="1" ht="16.5" x14ac:dyDescent="0.25">
      <c r="A1927" s="778" t="s">
        <v>628</v>
      </c>
      <c r="B1927" s="778"/>
      <c r="C1927" s="254"/>
      <c r="D1927" s="431">
        <f>SUM(D1925:D1926)</f>
        <v>10719367.689999999</v>
      </c>
      <c r="E1927" s="427"/>
      <c r="F1927" s="428"/>
      <c r="G1927" s="431">
        <f>SUM(G1925:G1926)</f>
        <v>10288563.853799999</v>
      </c>
      <c r="H1927" s="426"/>
      <c r="I1927" s="56"/>
      <c r="J1927" s="437">
        <f t="shared" ref="J1927" si="50">SUM(J1925:J1926)</f>
        <v>10719367.689999999</v>
      </c>
    </row>
    <row r="1928" spans="1:10" s="5" customFormat="1" ht="33" x14ac:dyDescent="0.25">
      <c r="A1928" s="787">
        <v>43</v>
      </c>
      <c r="B1928" s="764" t="s">
        <v>401</v>
      </c>
      <c r="C1928" s="110" t="s">
        <v>500</v>
      </c>
      <c r="D1928" s="73">
        <v>10705933.5</v>
      </c>
      <c r="E1928" s="433" t="s">
        <v>704</v>
      </c>
      <c r="F1928" s="432" t="s">
        <v>660</v>
      </c>
      <c r="G1928" s="73">
        <v>10156959.74</v>
      </c>
      <c r="H1928" s="434">
        <v>42520</v>
      </c>
      <c r="I1928" s="434">
        <v>42528</v>
      </c>
      <c r="J1928" s="432">
        <v>10705933.5</v>
      </c>
    </row>
    <row r="1929" spans="1:10" s="7" customFormat="1" ht="33" x14ac:dyDescent="0.25">
      <c r="A1929" s="787"/>
      <c r="B1929" s="764"/>
      <c r="C1929" s="150" t="s">
        <v>37</v>
      </c>
      <c r="D1929" s="151">
        <v>110233.56</v>
      </c>
      <c r="E1929" s="320" t="s">
        <v>620</v>
      </c>
      <c r="F1929" s="155" t="s">
        <v>614</v>
      </c>
      <c r="G1929" s="151">
        <f>93418.27*1.18</f>
        <v>110233.5586</v>
      </c>
      <c r="H1929" s="154">
        <v>42429</v>
      </c>
      <c r="I1929" s="154">
        <v>42495</v>
      </c>
      <c r="J1929" s="155">
        <v>110233.56</v>
      </c>
    </row>
    <row r="1930" spans="1:10" s="7" customFormat="1" ht="16.5" x14ac:dyDescent="0.25">
      <c r="A1930" s="778" t="s">
        <v>628</v>
      </c>
      <c r="B1930" s="778"/>
      <c r="C1930" s="142"/>
      <c r="D1930" s="430">
        <f>SUM(D1928:D1929)</f>
        <v>10816167.060000001</v>
      </c>
      <c r="E1930" s="427"/>
      <c r="F1930" s="428"/>
      <c r="G1930" s="430">
        <f>SUM(G1928:G1929)</f>
        <v>10267193.298599999</v>
      </c>
      <c r="H1930" s="426"/>
      <c r="I1930" s="56"/>
      <c r="J1930" s="436">
        <f t="shared" ref="J1930" si="51">SUM(J1928:J1929)</f>
        <v>10816167.060000001</v>
      </c>
    </row>
    <row r="1931" spans="1:10" s="5" customFormat="1" ht="33" x14ac:dyDescent="0.25">
      <c r="A1931" s="787">
        <v>44</v>
      </c>
      <c r="B1931" s="764" t="s">
        <v>402</v>
      </c>
      <c r="C1931" s="110" t="s">
        <v>500</v>
      </c>
      <c r="D1931" s="73">
        <v>11036463.300000001</v>
      </c>
      <c r="E1931" s="433" t="s">
        <v>708</v>
      </c>
      <c r="F1931" s="432" t="s">
        <v>709</v>
      </c>
      <c r="G1931" s="73">
        <v>10500000</v>
      </c>
      <c r="H1931" s="434">
        <v>42531</v>
      </c>
      <c r="I1931" s="434">
        <v>42531</v>
      </c>
      <c r="J1931" s="432">
        <v>11036463.300000001</v>
      </c>
    </row>
    <row r="1932" spans="1:10" s="7" customFormat="1" ht="33" x14ac:dyDescent="0.25">
      <c r="A1932" s="787"/>
      <c r="B1932" s="764"/>
      <c r="C1932" s="150" t="s">
        <v>37</v>
      </c>
      <c r="D1932" s="151">
        <v>110842.11</v>
      </c>
      <c r="E1932" s="320" t="s">
        <v>620</v>
      </c>
      <c r="F1932" s="155" t="s">
        <v>614</v>
      </c>
      <c r="G1932" s="151">
        <f>93933.99*1.18</f>
        <v>110842.1082</v>
      </c>
      <c r="H1932" s="154">
        <v>42429</v>
      </c>
      <c r="I1932" s="154">
        <v>42495</v>
      </c>
      <c r="J1932" s="155">
        <v>110842.11</v>
      </c>
    </row>
    <row r="1933" spans="1:10" s="7" customFormat="1" ht="16.5" x14ac:dyDescent="0.25">
      <c r="A1933" s="778" t="s">
        <v>628</v>
      </c>
      <c r="B1933" s="778"/>
      <c r="C1933" s="142"/>
      <c r="D1933" s="430">
        <f>SUM(D1931:D1932)</f>
        <v>11147305.41</v>
      </c>
      <c r="E1933" s="427"/>
      <c r="F1933" s="428"/>
      <c r="G1933" s="430">
        <f>SUM(G1931:G1932)</f>
        <v>10610842.108200001</v>
      </c>
      <c r="H1933" s="426"/>
      <c r="I1933" s="56"/>
      <c r="J1933" s="436">
        <f t="shared" ref="J1933" si="52">SUM(J1931:J1932)</f>
        <v>11147305.41</v>
      </c>
    </row>
    <row r="1934" spans="1:10" s="5" customFormat="1" ht="33" x14ac:dyDescent="0.25">
      <c r="A1934" s="787">
        <v>45</v>
      </c>
      <c r="B1934" s="764" t="s">
        <v>403</v>
      </c>
      <c r="C1934" s="110" t="s">
        <v>500</v>
      </c>
      <c r="D1934" s="73">
        <v>10723527.300000001</v>
      </c>
      <c r="E1934" s="433" t="s">
        <v>1027</v>
      </c>
      <c r="F1934" s="432" t="s">
        <v>669</v>
      </c>
      <c r="G1934" s="73">
        <v>10232565.880000001</v>
      </c>
      <c r="H1934" s="434">
        <v>42632</v>
      </c>
      <c r="I1934" s="434">
        <v>42685</v>
      </c>
      <c r="J1934" s="432">
        <v>10723527.300000001</v>
      </c>
    </row>
    <row r="1935" spans="1:10" s="7" customFormat="1" ht="33" x14ac:dyDescent="0.25">
      <c r="A1935" s="787"/>
      <c r="B1935" s="764"/>
      <c r="C1935" s="150" t="s">
        <v>37</v>
      </c>
      <c r="D1935" s="151">
        <v>110842.11</v>
      </c>
      <c r="E1935" s="320" t="s">
        <v>620</v>
      </c>
      <c r="F1935" s="155" t="s">
        <v>614</v>
      </c>
      <c r="G1935" s="151">
        <f>93933.99*1.18</f>
        <v>110842.1082</v>
      </c>
      <c r="H1935" s="154">
        <v>42429</v>
      </c>
      <c r="I1935" s="154">
        <v>42495</v>
      </c>
      <c r="J1935" s="155">
        <v>110842.11</v>
      </c>
    </row>
    <row r="1936" spans="1:10" s="7" customFormat="1" ht="16.5" x14ac:dyDescent="0.25">
      <c r="A1936" s="778" t="s">
        <v>628</v>
      </c>
      <c r="B1936" s="778"/>
      <c r="C1936" s="142"/>
      <c r="D1936" s="430">
        <f>SUM(D1934:D1935)</f>
        <v>10834369.41</v>
      </c>
      <c r="E1936" s="427"/>
      <c r="F1936" s="428"/>
      <c r="G1936" s="430">
        <f>SUM(G1934:G1935)</f>
        <v>10343407.988200001</v>
      </c>
      <c r="H1936" s="426"/>
      <c r="I1936" s="56"/>
      <c r="J1936" s="436">
        <f>SUM(J1934:J1935)</f>
        <v>10834369.41</v>
      </c>
    </row>
    <row r="1937" spans="1:10" s="5" customFormat="1" ht="33" x14ac:dyDescent="0.25">
      <c r="A1937" s="787">
        <v>46</v>
      </c>
      <c r="B1937" s="764" t="s">
        <v>404</v>
      </c>
      <c r="C1937" s="110" t="s">
        <v>500</v>
      </c>
      <c r="D1937" s="73">
        <v>5248171.54</v>
      </c>
      <c r="E1937" s="433" t="s">
        <v>957</v>
      </c>
      <c r="F1937" s="432" t="s">
        <v>669</v>
      </c>
      <c r="G1937" s="73">
        <v>5248171.54</v>
      </c>
      <c r="H1937" s="434">
        <v>42638</v>
      </c>
      <c r="I1937" s="434">
        <v>42695</v>
      </c>
      <c r="J1937" s="432">
        <v>5073618.8600000003</v>
      </c>
    </row>
    <row r="1938" spans="1:10" s="7" customFormat="1" ht="33" x14ac:dyDescent="0.25">
      <c r="A1938" s="787"/>
      <c r="B1938" s="764"/>
      <c r="C1938" s="150" t="s">
        <v>37</v>
      </c>
      <c r="D1938" s="151">
        <v>94635.61</v>
      </c>
      <c r="E1938" s="320" t="s">
        <v>620</v>
      </c>
      <c r="F1938" s="155" t="s">
        <v>614</v>
      </c>
      <c r="G1938" s="151">
        <f>80199.67*1.18</f>
        <v>94635.6106</v>
      </c>
      <c r="H1938" s="154">
        <v>42429</v>
      </c>
      <c r="I1938" s="154">
        <v>42495</v>
      </c>
      <c r="J1938" s="155">
        <v>94635.61</v>
      </c>
    </row>
    <row r="1939" spans="1:10" s="9" customFormat="1" ht="16.5" outlineLevel="1" x14ac:dyDescent="0.25">
      <c r="A1939" s="787"/>
      <c r="B1939" s="764"/>
      <c r="C1939" s="254" t="s">
        <v>1007</v>
      </c>
      <c r="D1939" s="53">
        <v>92308.156087046504</v>
      </c>
      <c r="E1939" s="427"/>
      <c r="F1939" s="428"/>
      <c r="G1939" s="53"/>
      <c r="H1939" s="426"/>
      <c r="I1939" s="426"/>
      <c r="J1939" s="428"/>
    </row>
    <row r="1940" spans="1:10" s="7" customFormat="1" ht="16.5" x14ac:dyDescent="0.25">
      <c r="A1940" s="778" t="s">
        <v>628</v>
      </c>
      <c r="B1940" s="778"/>
      <c r="C1940" s="142"/>
      <c r="D1940" s="430">
        <f>SUM(D1937:D1939)</f>
        <v>5435115.3060870469</v>
      </c>
      <c r="E1940" s="427"/>
      <c r="F1940" s="428"/>
      <c r="G1940" s="430">
        <f>SUM(G1937:G1938)</f>
        <v>5342807.1506000003</v>
      </c>
      <c r="H1940" s="426"/>
      <c r="I1940" s="56"/>
      <c r="J1940" s="436">
        <f>SUM(J1937:J1938)</f>
        <v>5168254.4700000007</v>
      </c>
    </row>
    <row r="1941" spans="1:10" s="7" customFormat="1" ht="33" x14ac:dyDescent="0.25">
      <c r="A1941" s="435">
        <v>47</v>
      </c>
      <c r="B1941" s="429" t="s">
        <v>405</v>
      </c>
      <c r="C1941" s="150" t="s">
        <v>37</v>
      </c>
      <c r="D1941" s="151">
        <v>100100.36</v>
      </c>
      <c r="E1941" s="320" t="s">
        <v>620</v>
      </c>
      <c r="F1941" s="155" t="s">
        <v>614</v>
      </c>
      <c r="G1941" s="151">
        <f>84830.81*1.18</f>
        <v>100100.35579999999</v>
      </c>
      <c r="H1941" s="154">
        <v>42429</v>
      </c>
      <c r="I1941" s="174"/>
      <c r="J1941" s="155"/>
    </row>
    <row r="1942" spans="1:10" s="7" customFormat="1" ht="16.5" x14ac:dyDescent="0.25">
      <c r="A1942" s="778" t="s">
        <v>628</v>
      </c>
      <c r="B1942" s="778"/>
      <c r="C1942" s="142"/>
      <c r="D1942" s="430">
        <f>SUM(D1941:D1941)</f>
        <v>100100.36</v>
      </c>
      <c r="E1942" s="427"/>
      <c r="F1942" s="428"/>
      <c r="G1942" s="430">
        <f>SUM(G1941:G1941)</f>
        <v>100100.35579999999</v>
      </c>
      <c r="H1942" s="426"/>
      <c r="I1942" s="56"/>
      <c r="J1942" s="428"/>
    </row>
    <row r="1943" spans="1:10" s="5" customFormat="1" ht="33" x14ac:dyDescent="0.25">
      <c r="A1943" s="787">
        <v>48</v>
      </c>
      <c r="B1943" s="764" t="s">
        <v>406</v>
      </c>
      <c r="C1943" s="110" t="s">
        <v>500</v>
      </c>
      <c r="D1943" s="73">
        <v>7916330.9000000004</v>
      </c>
      <c r="E1943" s="433" t="s">
        <v>996</v>
      </c>
      <c r="F1943" s="432" t="s">
        <v>804</v>
      </c>
      <c r="G1943" s="73">
        <v>7916330.9000000004</v>
      </c>
      <c r="H1943" s="434">
        <v>42658</v>
      </c>
      <c r="I1943" s="434">
        <v>42710</v>
      </c>
      <c r="J1943" s="432">
        <v>7402399.5999999996</v>
      </c>
    </row>
    <row r="1944" spans="1:10" s="7" customFormat="1" ht="33" x14ac:dyDescent="0.25">
      <c r="A1944" s="787"/>
      <c r="B1944" s="764"/>
      <c r="C1944" s="150" t="s">
        <v>37</v>
      </c>
      <c r="D1944" s="151">
        <v>144044.04999999999</v>
      </c>
      <c r="E1944" s="320" t="s">
        <v>620</v>
      </c>
      <c r="F1944" s="155" t="s">
        <v>614</v>
      </c>
      <c r="G1944" s="151">
        <f>122071.23*1.18</f>
        <v>144044.0514</v>
      </c>
      <c r="H1944" s="154">
        <v>42429</v>
      </c>
      <c r="I1944" s="154">
        <v>42495</v>
      </c>
      <c r="J1944" s="155">
        <v>144044.04999999999</v>
      </c>
    </row>
    <row r="1945" spans="1:10" s="9" customFormat="1" ht="16.5" outlineLevel="1" x14ac:dyDescent="0.25">
      <c r="A1945" s="787"/>
      <c r="B1945" s="764"/>
      <c r="C1945" s="254" t="s">
        <v>1007</v>
      </c>
      <c r="D1945" s="53">
        <v>70511.953359173</v>
      </c>
      <c r="E1945" s="427"/>
      <c r="F1945" s="428"/>
      <c r="G1945" s="53"/>
      <c r="H1945" s="426"/>
      <c r="I1945" s="426"/>
      <c r="J1945" s="428"/>
    </row>
    <row r="1946" spans="1:10" s="7" customFormat="1" ht="16.5" x14ac:dyDescent="0.25">
      <c r="A1946" s="778" t="s">
        <v>628</v>
      </c>
      <c r="B1946" s="778"/>
      <c r="C1946" s="142"/>
      <c r="D1946" s="430">
        <f>SUM(D1943:D1945)</f>
        <v>8130886.9033591729</v>
      </c>
      <c r="E1946" s="427"/>
      <c r="F1946" s="428"/>
      <c r="G1946" s="430">
        <f>SUM(G1943:G1944)</f>
        <v>8060374.9514000006</v>
      </c>
      <c r="H1946" s="426"/>
      <c r="I1946" s="56"/>
      <c r="J1946" s="436">
        <f>SUM(J1943:J1944)</f>
        <v>7546443.6499999994</v>
      </c>
    </row>
    <row r="1947" spans="1:10" s="5" customFormat="1" ht="33" x14ac:dyDescent="0.25">
      <c r="A1947" s="787">
        <v>49</v>
      </c>
      <c r="B1947" s="764" t="s">
        <v>407</v>
      </c>
      <c r="C1947" s="110" t="s">
        <v>500</v>
      </c>
      <c r="D1947" s="73">
        <v>13515455.68</v>
      </c>
      <c r="E1947" s="433" t="s">
        <v>996</v>
      </c>
      <c r="F1947" s="432" t="s">
        <v>804</v>
      </c>
      <c r="G1947" s="73">
        <v>13515455.68</v>
      </c>
      <c r="H1947" s="434">
        <v>42658</v>
      </c>
      <c r="I1947" s="434">
        <v>42688</v>
      </c>
      <c r="J1947" s="432">
        <v>12775477.68</v>
      </c>
    </row>
    <row r="1948" spans="1:10" s="7" customFormat="1" ht="33" x14ac:dyDescent="0.25">
      <c r="A1948" s="787"/>
      <c r="B1948" s="764"/>
      <c r="C1948" s="150" t="s">
        <v>37</v>
      </c>
      <c r="D1948" s="151">
        <v>129372.07</v>
      </c>
      <c r="E1948" s="320" t="s">
        <v>620</v>
      </c>
      <c r="F1948" s="155" t="s">
        <v>614</v>
      </c>
      <c r="G1948" s="151">
        <f>109637.35*1.18</f>
        <v>129372.073</v>
      </c>
      <c r="H1948" s="154">
        <v>42429</v>
      </c>
      <c r="I1948" s="154">
        <v>42495</v>
      </c>
      <c r="J1948" s="155">
        <v>129372.07</v>
      </c>
    </row>
    <row r="1949" spans="1:10" s="9" customFormat="1" ht="16.5" outlineLevel="1" x14ac:dyDescent="0.25">
      <c r="A1949" s="787"/>
      <c r="B1949" s="764"/>
      <c r="C1949" s="254" t="s">
        <v>1007</v>
      </c>
      <c r="D1949" s="53">
        <v>138369.03499369501</v>
      </c>
      <c r="E1949" s="427"/>
      <c r="F1949" s="428"/>
      <c r="G1949" s="53"/>
      <c r="H1949" s="426"/>
      <c r="I1949" s="426"/>
      <c r="J1949" s="428"/>
    </row>
    <row r="1950" spans="1:10" s="7" customFormat="1" ht="16.5" x14ac:dyDescent="0.25">
      <c r="A1950" s="778" t="s">
        <v>628</v>
      </c>
      <c r="B1950" s="778"/>
      <c r="C1950" s="142"/>
      <c r="D1950" s="430">
        <f>SUM(D1947:D1949)</f>
        <v>13783196.784993695</v>
      </c>
      <c r="E1950" s="427"/>
      <c r="F1950" s="428"/>
      <c r="G1950" s="430">
        <f>SUM(G1947:G1948)</f>
        <v>13644827.753</v>
      </c>
      <c r="H1950" s="426"/>
      <c r="I1950" s="56"/>
      <c r="J1950" s="436">
        <f>SUM(J1947:J1948)</f>
        <v>12904849.75</v>
      </c>
    </row>
    <row r="1951" spans="1:10" s="5" customFormat="1" ht="33" x14ac:dyDescent="0.25">
      <c r="A1951" s="787">
        <v>50</v>
      </c>
      <c r="B1951" s="764" t="s">
        <v>408</v>
      </c>
      <c r="C1951" s="110" t="s">
        <v>500</v>
      </c>
      <c r="D1951" s="73">
        <v>3713609.86</v>
      </c>
      <c r="E1951" s="433" t="s">
        <v>957</v>
      </c>
      <c r="F1951" s="432" t="s">
        <v>669</v>
      </c>
      <c r="G1951" s="73">
        <v>3713609.86</v>
      </c>
      <c r="H1951" s="434">
        <v>42638</v>
      </c>
      <c r="I1951" s="434">
        <v>42705</v>
      </c>
      <c r="J1951" s="432">
        <v>3479277.2</v>
      </c>
    </row>
    <row r="1952" spans="1:10" s="7" customFormat="1" ht="33" x14ac:dyDescent="0.25">
      <c r="A1952" s="787"/>
      <c r="B1952" s="764"/>
      <c r="C1952" s="150" t="s">
        <v>37</v>
      </c>
      <c r="D1952" s="151">
        <v>103496.17</v>
      </c>
      <c r="E1952" s="320" t="s">
        <v>620</v>
      </c>
      <c r="F1952" s="155" t="s">
        <v>614</v>
      </c>
      <c r="G1952" s="151">
        <f>87708.62*1.18</f>
        <v>103496.17159999999</v>
      </c>
      <c r="H1952" s="154">
        <v>42429</v>
      </c>
      <c r="I1952" s="154">
        <v>42495</v>
      </c>
      <c r="J1952" s="155">
        <v>103496.18</v>
      </c>
    </row>
    <row r="1953" spans="1:10" s="9" customFormat="1" ht="16.5" outlineLevel="1" x14ac:dyDescent="0.25">
      <c r="A1953" s="787"/>
      <c r="B1953" s="764"/>
      <c r="C1953" s="254" t="s">
        <v>1007</v>
      </c>
      <c r="D1953" s="53">
        <v>46569.957909258803</v>
      </c>
      <c r="E1953" s="427"/>
      <c r="F1953" s="428"/>
      <c r="G1953" s="53"/>
      <c r="H1953" s="426"/>
      <c r="I1953" s="426"/>
      <c r="J1953" s="428"/>
    </row>
    <row r="1954" spans="1:10" s="7" customFormat="1" ht="16.5" x14ac:dyDescent="0.25">
      <c r="A1954" s="778" t="s">
        <v>628</v>
      </c>
      <c r="B1954" s="778"/>
      <c r="C1954" s="142"/>
      <c r="D1954" s="430">
        <f>SUM(D1951:D1953)</f>
        <v>3863675.9879092588</v>
      </c>
      <c r="E1954" s="427"/>
      <c r="F1954" s="428"/>
      <c r="G1954" s="430">
        <f>SUM(G1951:G1952)</f>
        <v>3817106.0315999999</v>
      </c>
      <c r="H1954" s="426"/>
      <c r="I1954" s="56"/>
      <c r="J1954" s="436">
        <f>SUM(J1951:J1952)</f>
        <v>3582773.3800000004</v>
      </c>
    </row>
    <row r="1955" spans="1:10" s="5" customFormat="1" ht="33" x14ac:dyDescent="0.25">
      <c r="A1955" s="787">
        <v>51</v>
      </c>
      <c r="B1955" s="764" t="s">
        <v>409</v>
      </c>
      <c r="C1955" s="110" t="s">
        <v>500</v>
      </c>
      <c r="D1955" s="73">
        <v>4850218.9000000004</v>
      </c>
      <c r="E1955" s="433" t="s">
        <v>1000</v>
      </c>
      <c r="F1955" s="432" t="s">
        <v>669</v>
      </c>
      <c r="G1955" s="73">
        <v>4850218.9000000004</v>
      </c>
      <c r="H1955" s="434">
        <v>42674</v>
      </c>
      <c r="I1955" s="434">
        <v>42730</v>
      </c>
      <c r="J1955" s="432">
        <v>4706578.68</v>
      </c>
    </row>
    <row r="1956" spans="1:10" s="7" customFormat="1" ht="33" x14ac:dyDescent="0.25">
      <c r="A1956" s="787"/>
      <c r="B1956" s="764"/>
      <c r="C1956" s="150" t="s">
        <v>37</v>
      </c>
      <c r="D1956" s="151">
        <v>79184.36</v>
      </c>
      <c r="E1956" s="320" t="s">
        <v>615</v>
      </c>
      <c r="F1956" s="155" t="s">
        <v>614</v>
      </c>
      <c r="G1956" s="151">
        <f>67105.39*1.18</f>
        <v>79184.360199999996</v>
      </c>
      <c r="H1956" s="154">
        <v>42420</v>
      </c>
      <c r="I1956" s="154">
        <v>42605</v>
      </c>
      <c r="J1956" s="155">
        <v>67105.39</v>
      </c>
    </row>
    <row r="1957" spans="1:10" s="9" customFormat="1" ht="16.5" outlineLevel="1" x14ac:dyDescent="0.25">
      <c r="A1957" s="787"/>
      <c r="B1957" s="764"/>
      <c r="C1957" s="254" t="s">
        <v>1007</v>
      </c>
      <c r="D1957" s="53">
        <v>30848.100015944201</v>
      </c>
      <c r="E1957" s="427"/>
      <c r="F1957" s="428"/>
      <c r="G1957" s="53"/>
      <c r="H1957" s="426"/>
      <c r="I1957" s="426"/>
      <c r="J1957" s="428"/>
    </row>
    <row r="1958" spans="1:10" s="7" customFormat="1" ht="16.5" x14ac:dyDescent="0.25">
      <c r="A1958" s="778" t="s">
        <v>628</v>
      </c>
      <c r="B1958" s="778"/>
      <c r="C1958" s="142"/>
      <c r="D1958" s="430">
        <f>SUM(D1955:D1957)</f>
        <v>4960251.3600159446</v>
      </c>
      <c r="E1958" s="427"/>
      <c r="F1958" s="428"/>
      <c r="G1958" s="430">
        <f>SUM(G1955:G1956)</f>
        <v>4929403.2602000004</v>
      </c>
      <c r="H1958" s="426"/>
      <c r="I1958" s="56"/>
      <c r="J1958" s="436">
        <f>SUM(J1955:J1956)</f>
        <v>4773684.0699999994</v>
      </c>
    </row>
    <row r="1959" spans="1:10" s="5" customFormat="1" ht="33" x14ac:dyDescent="0.25">
      <c r="A1959" s="787">
        <v>52</v>
      </c>
      <c r="B1959" s="764" t="s">
        <v>410</v>
      </c>
      <c r="C1959" s="110" t="s">
        <v>500</v>
      </c>
      <c r="D1959" s="73">
        <v>7110947.8600000003</v>
      </c>
      <c r="E1959" s="433" t="s">
        <v>710</v>
      </c>
      <c r="F1959" s="432" t="s">
        <v>707</v>
      </c>
      <c r="G1959" s="73">
        <v>7160000</v>
      </c>
      <c r="H1959" s="434">
        <v>42531</v>
      </c>
      <c r="I1959" s="434">
        <v>42535</v>
      </c>
      <c r="J1959" s="432">
        <v>7110947.8600000003</v>
      </c>
    </row>
    <row r="1960" spans="1:10" s="7" customFormat="1" ht="33" x14ac:dyDescent="0.25">
      <c r="A1960" s="787"/>
      <c r="B1960" s="764"/>
      <c r="C1960" s="150" t="s">
        <v>37</v>
      </c>
      <c r="D1960" s="151">
        <v>97329.48</v>
      </c>
      <c r="E1960" s="320" t="s">
        <v>615</v>
      </c>
      <c r="F1960" s="155" t="s">
        <v>614</v>
      </c>
      <c r="G1960" s="151">
        <f>82482.61*1.18</f>
        <v>97329.479800000001</v>
      </c>
      <c r="H1960" s="154">
        <v>42420</v>
      </c>
      <c r="I1960" s="154">
        <v>42431</v>
      </c>
      <c r="J1960" s="155">
        <v>82482.61</v>
      </c>
    </row>
    <row r="1961" spans="1:10" s="7" customFormat="1" ht="16.5" x14ac:dyDescent="0.25">
      <c r="A1961" s="778" t="s">
        <v>628</v>
      </c>
      <c r="B1961" s="778"/>
      <c r="C1961" s="142"/>
      <c r="D1961" s="430">
        <f>SUM(D1959:D1960)</f>
        <v>7208277.3400000008</v>
      </c>
      <c r="E1961" s="427"/>
      <c r="F1961" s="428"/>
      <c r="G1961" s="430">
        <f>SUM(G1959:G1960)</f>
        <v>7257329.4797999999</v>
      </c>
      <c r="H1961" s="426"/>
      <c r="I1961" s="56"/>
      <c r="J1961" s="436">
        <f t="shared" ref="J1961" si="53">SUM(J1959:J1960)</f>
        <v>7193430.4700000007</v>
      </c>
    </row>
    <row r="1962" spans="1:10" s="5" customFormat="1" ht="33" x14ac:dyDescent="0.25">
      <c r="A1962" s="787">
        <v>53</v>
      </c>
      <c r="B1962" s="764" t="s">
        <v>411</v>
      </c>
      <c r="C1962" s="110" t="s">
        <v>500</v>
      </c>
      <c r="D1962" s="73">
        <v>7099216.2999999998</v>
      </c>
      <c r="E1962" s="433" t="s">
        <v>706</v>
      </c>
      <c r="F1962" s="432" t="s">
        <v>707</v>
      </c>
      <c r="G1962" s="73">
        <v>7180000</v>
      </c>
      <c r="H1962" s="434">
        <v>42531</v>
      </c>
      <c r="I1962" s="434">
        <v>42535</v>
      </c>
      <c r="J1962" s="432">
        <v>7099216.2999999998</v>
      </c>
    </row>
    <row r="1963" spans="1:10" s="7" customFormat="1" ht="33" x14ac:dyDescent="0.25">
      <c r="A1963" s="787"/>
      <c r="B1963" s="764"/>
      <c r="C1963" s="150" t="s">
        <v>37</v>
      </c>
      <c r="D1963" s="151">
        <v>97294.720000000001</v>
      </c>
      <c r="E1963" s="320" t="s">
        <v>615</v>
      </c>
      <c r="F1963" s="155" t="s">
        <v>614</v>
      </c>
      <c r="G1963" s="151">
        <f>82453.15*1.18</f>
        <v>97294.71699999999</v>
      </c>
      <c r="H1963" s="154">
        <v>42420</v>
      </c>
      <c r="I1963" s="154">
        <v>42431</v>
      </c>
      <c r="J1963" s="155">
        <v>82453.149999999994</v>
      </c>
    </row>
    <row r="1964" spans="1:10" s="7" customFormat="1" ht="16.5" x14ac:dyDescent="0.25">
      <c r="A1964" s="778" t="s">
        <v>628</v>
      </c>
      <c r="B1964" s="778"/>
      <c r="C1964" s="142"/>
      <c r="D1964" s="430">
        <f>SUM(D1962:D1963)</f>
        <v>7196511.0199999996</v>
      </c>
      <c r="E1964" s="427"/>
      <c r="F1964" s="428"/>
      <c r="G1964" s="430">
        <f>SUM(G1962:G1963)</f>
        <v>7277294.7170000002</v>
      </c>
      <c r="H1964" s="426"/>
      <c r="I1964" s="56"/>
      <c r="J1964" s="436">
        <f t="shared" ref="J1964" si="54">SUM(J1962:J1963)</f>
        <v>7181669.4500000002</v>
      </c>
    </row>
    <row r="1965" spans="1:10" s="25" customFormat="1" ht="33" x14ac:dyDescent="0.25">
      <c r="A1965" s="787">
        <v>54</v>
      </c>
      <c r="B1965" s="764" t="s">
        <v>412</v>
      </c>
      <c r="C1965" s="110" t="s">
        <v>500</v>
      </c>
      <c r="D1965" s="73">
        <v>12280480.220000001</v>
      </c>
      <c r="E1965" s="433" t="s">
        <v>955</v>
      </c>
      <c r="F1965" s="432" t="s">
        <v>956</v>
      </c>
      <c r="G1965" s="73">
        <v>11280480.220000001</v>
      </c>
      <c r="H1965" s="434">
        <v>42628</v>
      </c>
      <c r="I1965" s="434">
        <v>42654</v>
      </c>
      <c r="J1965" s="432">
        <v>8322866.9500000002</v>
      </c>
    </row>
    <row r="1966" spans="1:10" s="7" customFormat="1" ht="33" x14ac:dyDescent="0.25">
      <c r="A1966" s="787"/>
      <c r="B1966" s="764"/>
      <c r="C1966" s="150" t="s">
        <v>37</v>
      </c>
      <c r="D1966" s="151">
        <v>112904.69</v>
      </c>
      <c r="E1966" s="320" t="s">
        <v>615</v>
      </c>
      <c r="F1966" s="155" t="s">
        <v>614</v>
      </c>
      <c r="G1966" s="151">
        <f>95681.94*1.18</f>
        <v>112904.68919999999</v>
      </c>
      <c r="H1966" s="154">
        <v>42420</v>
      </c>
      <c r="I1966" s="154">
        <v>42552</v>
      </c>
      <c r="J1966" s="155">
        <v>95681.94</v>
      </c>
    </row>
    <row r="1967" spans="1:10" s="9" customFormat="1" ht="16.5" outlineLevel="1" x14ac:dyDescent="0.25">
      <c r="A1967" s="787"/>
      <c r="B1967" s="764"/>
      <c r="C1967" s="254" t="s">
        <v>1007</v>
      </c>
      <c r="D1967" s="53">
        <v>138247.11364466199</v>
      </c>
      <c r="E1967" s="427"/>
      <c r="F1967" s="428"/>
      <c r="G1967" s="53"/>
      <c r="H1967" s="426"/>
      <c r="I1967" s="426"/>
      <c r="J1967" s="428"/>
    </row>
    <row r="1968" spans="1:10" s="7" customFormat="1" ht="16.5" x14ac:dyDescent="0.25">
      <c r="A1968" s="778" t="s">
        <v>628</v>
      </c>
      <c r="B1968" s="778"/>
      <c r="C1968" s="142"/>
      <c r="D1968" s="430">
        <f>SUM(D1965:D1967)</f>
        <v>12531632.023644662</v>
      </c>
      <c r="E1968" s="427"/>
      <c r="F1968" s="428"/>
      <c r="G1968" s="430">
        <f>SUM(G1965:G1966)</f>
        <v>11393384.909200002</v>
      </c>
      <c r="H1968" s="426"/>
      <c r="I1968" s="56"/>
      <c r="J1968" s="436">
        <f>SUM(J1965:J1966)</f>
        <v>8418548.8900000006</v>
      </c>
    </row>
    <row r="1969" spans="1:10" s="5" customFormat="1" ht="33" x14ac:dyDescent="0.25">
      <c r="A1969" s="787">
        <v>55</v>
      </c>
      <c r="B1969" s="764" t="s">
        <v>413</v>
      </c>
      <c r="C1969" s="110" t="s">
        <v>500</v>
      </c>
      <c r="D1969" s="73">
        <v>10293940.039999999</v>
      </c>
      <c r="E1969" s="433" t="s">
        <v>744</v>
      </c>
      <c r="F1969" s="432" t="s">
        <v>743</v>
      </c>
      <c r="G1969" s="73">
        <v>10506661</v>
      </c>
      <c r="H1969" s="434">
        <v>42531</v>
      </c>
      <c r="I1969" s="434">
        <v>42569</v>
      </c>
      <c r="J1969" s="432">
        <v>10293940.039999999</v>
      </c>
    </row>
    <row r="1970" spans="1:10" s="7" customFormat="1" ht="33" x14ac:dyDescent="0.25">
      <c r="A1970" s="787"/>
      <c r="B1970" s="764"/>
      <c r="C1970" s="150" t="s">
        <v>37</v>
      </c>
      <c r="D1970" s="151">
        <v>107406</v>
      </c>
      <c r="E1970" s="320" t="s">
        <v>615</v>
      </c>
      <c r="F1970" s="155" t="s">
        <v>614</v>
      </c>
      <c r="G1970" s="151">
        <f>91022.03*1.18</f>
        <v>107405.9954</v>
      </c>
      <c r="H1970" s="154">
        <v>42420</v>
      </c>
      <c r="I1970" s="154">
        <v>42438</v>
      </c>
      <c r="J1970" s="155">
        <v>91022.03</v>
      </c>
    </row>
    <row r="1971" spans="1:10" s="7" customFormat="1" ht="16.5" x14ac:dyDescent="0.25">
      <c r="A1971" s="778" t="s">
        <v>628</v>
      </c>
      <c r="B1971" s="778"/>
      <c r="C1971" s="142"/>
      <c r="D1971" s="430">
        <f>SUM(D1969:D1970)</f>
        <v>10401346.039999999</v>
      </c>
      <c r="E1971" s="427"/>
      <c r="F1971" s="428"/>
      <c r="G1971" s="430">
        <f>SUM(G1969:G1970)</f>
        <v>10614066.9954</v>
      </c>
      <c r="H1971" s="426"/>
      <c r="I1971" s="56"/>
      <c r="J1971" s="436">
        <f>SUM(J1969:J1970)</f>
        <v>10384962.069999998</v>
      </c>
    </row>
    <row r="1972" spans="1:10" s="5" customFormat="1" ht="33" x14ac:dyDescent="0.25">
      <c r="A1972" s="787">
        <v>56</v>
      </c>
      <c r="B1972" s="764" t="s">
        <v>414</v>
      </c>
      <c r="C1972" s="110" t="s">
        <v>500</v>
      </c>
      <c r="D1972" s="73">
        <v>12528259.42</v>
      </c>
      <c r="E1972" s="433" t="s">
        <v>742</v>
      </c>
      <c r="F1972" s="432" t="s">
        <v>743</v>
      </c>
      <c r="G1972" s="73">
        <v>12552797.52</v>
      </c>
      <c r="H1972" s="434">
        <v>42531</v>
      </c>
      <c r="I1972" s="434">
        <v>42568</v>
      </c>
      <c r="J1972" s="432">
        <v>12528259.42</v>
      </c>
    </row>
    <row r="1973" spans="1:10" s="7" customFormat="1" ht="33" x14ac:dyDescent="0.25">
      <c r="A1973" s="787"/>
      <c r="B1973" s="764"/>
      <c r="C1973" s="150" t="s">
        <v>37</v>
      </c>
      <c r="D1973" s="151">
        <v>107241.37</v>
      </c>
      <c r="E1973" s="320" t="s">
        <v>615</v>
      </c>
      <c r="F1973" s="155" t="s">
        <v>614</v>
      </c>
      <c r="G1973" s="151">
        <f>90882.52*1.18</f>
        <v>107241.37360000001</v>
      </c>
      <c r="H1973" s="154">
        <v>42420</v>
      </c>
      <c r="I1973" s="154">
        <v>42438</v>
      </c>
      <c r="J1973" s="155">
        <v>90882.52</v>
      </c>
    </row>
    <row r="1974" spans="1:10" s="7" customFormat="1" ht="16.5" x14ac:dyDescent="0.25">
      <c r="A1974" s="778" t="s">
        <v>628</v>
      </c>
      <c r="B1974" s="778"/>
      <c r="C1974" s="142"/>
      <c r="D1974" s="430">
        <f>SUM(D1972:D1973)</f>
        <v>12635500.789999999</v>
      </c>
      <c r="E1974" s="427"/>
      <c r="F1974" s="428"/>
      <c r="G1974" s="430">
        <f>SUM(G1972:G1973)</f>
        <v>12660038.8936</v>
      </c>
      <c r="H1974" s="426"/>
      <c r="I1974" s="56"/>
      <c r="J1974" s="436">
        <f>SUM(J1972:J1973)</f>
        <v>12619141.939999999</v>
      </c>
    </row>
    <row r="1975" spans="1:10" s="5" customFormat="1" ht="33" x14ac:dyDescent="0.25">
      <c r="A1975" s="787">
        <v>57</v>
      </c>
      <c r="B1975" s="764" t="s">
        <v>415</v>
      </c>
      <c r="C1975" s="110" t="s">
        <v>500</v>
      </c>
      <c r="D1975" s="73">
        <v>6949988.7800000003</v>
      </c>
      <c r="E1975" s="433" t="s">
        <v>747</v>
      </c>
      <c r="F1975" s="432" t="s">
        <v>743</v>
      </c>
      <c r="G1975" s="73">
        <v>6950000</v>
      </c>
      <c r="H1975" s="434">
        <v>42532</v>
      </c>
      <c r="I1975" s="434">
        <v>42572</v>
      </c>
      <c r="J1975" s="432">
        <v>6949988.7800000003</v>
      </c>
    </row>
    <row r="1976" spans="1:10" s="7" customFormat="1" ht="33" x14ac:dyDescent="0.25">
      <c r="A1976" s="787"/>
      <c r="B1976" s="764"/>
      <c r="C1976" s="150" t="s">
        <v>37</v>
      </c>
      <c r="D1976" s="151">
        <v>91365.38</v>
      </c>
      <c r="E1976" s="320" t="s">
        <v>615</v>
      </c>
      <c r="F1976" s="155" t="s">
        <v>614</v>
      </c>
      <c r="G1976" s="151">
        <f>77428.29*1.18</f>
        <v>91365.382199999993</v>
      </c>
      <c r="H1976" s="154">
        <v>42420</v>
      </c>
      <c r="I1976" s="154">
        <v>42440</v>
      </c>
      <c r="J1976" s="155">
        <v>77428.289999999994</v>
      </c>
    </row>
    <row r="1977" spans="1:10" s="7" customFormat="1" ht="16.5" x14ac:dyDescent="0.25">
      <c r="A1977" s="778" t="s">
        <v>628</v>
      </c>
      <c r="B1977" s="778"/>
      <c r="C1977" s="142"/>
      <c r="D1977" s="430">
        <f>SUM(D1975:D1976)</f>
        <v>7041354.1600000001</v>
      </c>
      <c r="E1977" s="427"/>
      <c r="F1977" s="428"/>
      <c r="G1977" s="430">
        <f>SUM(G1975:G1976)</f>
        <v>7041365.3821999999</v>
      </c>
      <c r="H1977" s="426"/>
      <c r="I1977" s="56"/>
      <c r="J1977" s="436">
        <f>SUM(J1975:J1976)</f>
        <v>7027417.0700000003</v>
      </c>
    </row>
    <row r="1978" spans="1:10" s="25" customFormat="1" ht="33" x14ac:dyDescent="0.25">
      <c r="A1978" s="787">
        <v>58</v>
      </c>
      <c r="B1978" s="764" t="s">
        <v>416</v>
      </c>
      <c r="C1978" s="110" t="s">
        <v>500</v>
      </c>
      <c r="D1978" s="73">
        <v>11904329.26</v>
      </c>
      <c r="E1978" s="433" t="s">
        <v>955</v>
      </c>
      <c r="F1978" s="432" t="s">
        <v>956</v>
      </c>
      <c r="G1978" s="73">
        <v>10904329.26</v>
      </c>
      <c r="H1978" s="434">
        <v>42628</v>
      </c>
      <c r="I1978" s="434">
        <v>42654</v>
      </c>
      <c r="J1978" s="432">
        <v>7872892.7599999998</v>
      </c>
    </row>
    <row r="1979" spans="1:10" s="7" customFormat="1" ht="33" x14ac:dyDescent="0.25">
      <c r="A1979" s="787"/>
      <c r="B1979" s="764"/>
      <c r="C1979" s="150" t="s">
        <v>37</v>
      </c>
      <c r="D1979" s="151">
        <v>93229.63</v>
      </c>
      <c r="E1979" s="320" t="s">
        <v>615</v>
      </c>
      <c r="F1979" s="155" t="s">
        <v>614</v>
      </c>
      <c r="G1979" s="151">
        <f>79008.16*1.18</f>
        <v>93229.628800000006</v>
      </c>
      <c r="H1979" s="154">
        <v>42420</v>
      </c>
      <c r="I1979" s="154">
        <v>42552</v>
      </c>
      <c r="J1979" s="155">
        <v>79008.160000000003</v>
      </c>
    </row>
    <row r="1980" spans="1:10" s="9" customFormat="1" ht="16.5" outlineLevel="1" x14ac:dyDescent="0.25">
      <c r="A1980" s="787"/>
      <c r="B1980" s="764"/>
      <c r="C1980" s="254" t="s">
        <v>1007</v>
      </c>
      <c r="D1980" s="53">
        <v>138101.50387323101</v>
      </c>
      <c r="E1980" s="427"/>
      <c r="F1980" s="428"/>
      <c r="G1980" s="53"/>
      <c r="H1980" s="426"/>
      <c r="I1980" s="426"/>
      <c r="J1980" s="428"/>
    </row>
    <row r="1981" spans="1:10" s="7" customFormat="1" ht="16.5" x14ac:dyDescent="0.25">
      <c r="A1981" s="778" t="s">
        <v>628</v>
      </c>
      <c r="B1981" s="778"/>
      <c r="C1981" s="142"/>
      <c r="D1981" s="430">
        <f>SUM(D1978:D1980)</f>
        <v>12135660.393873231</v>
      </c>
      <c r="E1981" s="427"/>
      <c r="F1981" s="428"/>
      <c r="G1981" s="430">
        <f>SUM(G1978:G1979)</f>
        <v>10997558.888799999</v>
      </c>
      <c r="H1981" s="426"/>
      <c r="I1981" s="56"/>
      <c r="J1981" s="436">
        <f>SUM(J1978:J1979)</f>
        <v>7951900.9199999999</v>
      </c>
    </row>
    <row r="1982" spans="1:10" s="5" customFormat="1" ht="33" x14ac:dyDescent="0.25">
      <c r="A1982" s="787">
        <v>59</v>
      </c>
      <c r="B1982" s="764" t="s">
        <v>417</v>
      </c>
      <c r="C1982" s="110" t="s">
        <v>500</v>
      </c>
      <c r="D1982" s="73">
        <v>12316653.560000001</v>
      </c>
      <c r="E1982" s="433" t="s">
        <v>1029</v>
      </c>
      <c r="F1982" s="432" t="s">
        <v>733</v>
      </c>
      <c r="G1982" s="73">
        <v>12316653.560000001</v>
      </c>
      <c r="H1982" s="434">
        <v>42725</v>
      </c>
      <c r="I1982" s="434">
        <v>42746</v>
      </c>
      <c r="J1982" s="432">
        <v>9028885.5800000001</v>
      </c>
    </row>
    <row r="1983" spans="1:10" s="7" customFormat="1" ht="33" x14ac:dyDescent="0.25">
      <c r="A1983" s="787"/>
      <c r="B1983" s="764"/>
      <c r="C1983" s="150" t="s">
        <v>37</v>
      </c>
      <c r="D1983" s="151">
        <v>106684.86</v>
      </c>
      <c r="E1983" s="320" t="s">
        <v>615</v>
      </c>
      <c r="F1983" s="155" t="s">
        <v>614</v>
      </c>
      <c r="G1983" s="151">
        <f>90410.9*1.18</f>
        <v>106684.86199999999</v>
      </c>
      <c r="H1983" s="154">
        <v>42420</v>
      </c>
      <c r="I1983" s="154">
        <v>42627</v>
      </c>
      <c r="J1983" s="155">
        <v>90410.9</v>
      </c>
    </row>
    <row r="1984" spans="1:10" s="7" customFormat="1" ht="16.5" x14ac:dyDescent="0.25">
      <c r="A1984" s="778" t="s">
        <v>628</v>
      </c>
      <c r="B1984" s="778"/>
      <c r="C1984" s="142"/>
      <c r="D1984" s="430">
        <f>SUM(D1982:D1983)</f>
        <v>12423338.42</v>
      </c>
      <c r="E1984" s="427"/>
      <c r="F1984" s="428"/>
      <c r="G1984" s="430">
        <f>SUM(G1982:G1983)</f>
        <v>12423338.422</v>
      </c>
      <c r="H1984" s="426"/>
      <c r="I1984" s="56"/>
      <c r="J1984" s="436">
        <f>SUM(J1982:J1983)</f>
        <v>9119296.4800000004</v>
      </c>
    </row>
    <row r="1985" spans="1:10" s="5" customFormat="1" ht="31.5" customHeight="1" x14ac:dyDescent="0.25">
      <c r="A1985" s="787">
        <v>60</v>
      </c>
      <c r="B1985" s="764" t="s">
        <v>418</v>
      </c>
      <c r="C1985" s="110" t="s">
        <v>500</v>
      </c>
      <c r="D1985" s="73">
        <v>6172539.8200000003</v>
      </c>
      <c r="E1985" s="433" t="s">
        <v>717</v>
      </c>
      <c r="F1985" s="432" t="s">
        <v>719</v>
      </c>
      <c r="G1985" s="73">
        <v>5876000</v>
      </c>
      <c r="H1985" s="439" t="s">
        <v>718</v>
      </c>
      <c r="I1985" s="434">
        <v>42524</v>
      </c>
      <c r="J1985" s="432">
        <v>6172539.8200000003</v>
      </c>
    </row>
    <row r="1986" spans="1:10" s="7" customFormat="1" ht="33" x14ac:dyDescent="0.25">
      <c r="A1986" s="787"/>
      <c r="B1986" s="764"/>
      <c r="C1986" s="150" t="s">
        <v>37</v>
      </c>
      <c r="D1986" s="151">
        <v>94174.83</v>
      </c>
      <c r="E1986" s="320" t="s">
        <v>615</v>
      </c>
      <c r="F1986" s="155" t="s">
        <v>614</v>
      </c>
      <c r="G1986" s="151">
        <f>79809.18*1.18</f>
        <v>94174.832399999985</v>
      </c>
      <c r="H1986" s="154">
        <v>42420</v>
      </c>
      <c r="I1986" s="154">
        <v>42432</v>
      </c>
      <c r="J1986" s="155">
        <v>79809.179999999993</v>
      </c>
    </row>
    <row r="1987" spans="1:10" s="7" customFormat="1" ht="16.5" x14ac:dyDescent="0.25">
      <c r="A1987" s="778" t="s">
        <v>628</v>
      </c>
      <c r="B1987" s="778"/>
      <c r="C1987" s="142"/>
      <c r="D1987" s="430">
        <f>SUM(D1985:D1986)</f>
        <v>6266714.6500000004</v>
      </c>
      <c r="E1987" s="427"/>
      <c r="F1987" s="428"/>
      <c r="G1987" s="430">
        <f>SUM(G1985:G1986)</f>
        <v>5970174.8323999997</v>
      </c>
      <c r="H1987" s="426"/>
      <c r="I1987" s="56"/>
      <c r="J1987" s="436">
        <f t="shared" ref="J1987" si="55">SUM(J1985:J1986)</f>
        <v>6252349</v>
      </c>
    </row>
    <row r="1988" spans="1:10" s="25" customFormat="1" ht="16.5" x14ac:dyDescent="0.25">
      <c r="A1988" s="787">
        <v>61</v>
      </c>
      <c r="B1988" s="764" t="s">
        <v>419</v>
      </c>
      <c r="C1988" s="110" t="s">
        <v>34</v>
      </c>
      <c r="D1988" s="73">
        <v>11542719.57</v>
      </c>
      <c r="E1988" s="712" t="s">
        <v>1142</v>
      </c>
      <c r="F1988" s="693" t="s">
        <v>829</v>
      </c>
      <c r="G1988" s="73">
        <v>11542719.57</v>
      </c>
      <c r="H1988" s="434">
        <v>42720</v>
      </c>
      <c r="I1988" s="434">
        <v>42730</v>
      </c>
      <c r="J1988" s="432">
        <v>9773054</v>
      </c>
    </row>
    <row r="1989" spans="1:10" s="25" customFormat="1" ht="16.5" x14ac:dyDescent="0.25">
      <c r="A1989" s="787"/>
      <c r="B1989" s="764"/>
      <c r="C1989" s="110" t="s">
        <v>35</v>
      </c>
      <c r="D1989" s="73">
        <v>5557280.4299999997</v>
      </c>
      <c r="E1989" s="712"/>
      <c r="F1989" s="693"/>
      <c r="G1989" s="73">
        <v>5557280.4299999997</v>
      </c>
      <c r="H1989" s="434">
        <v>42720</v>
      </c>
      <c r="I1989" s="434">
        <v>42730</v>
      </c>
      <c r="J1989" s="432">
        <v>4307284</v>
      </c>
    </row>
    <row r="1990" spans="1:10" s="7" customFormat="1" ht="33" x14ac:dyDescent="0.25">
      <c r="A1990" s="787"/>
      <c r="B1990" s="764"/>
      <c r="C1990" s="150" t="s">
        <v>37</v>
      </c>
      <c r="D1990" s="151">
        <v>107727.73</v>
      </c>
      <c r="E1990" s="320" t="s">
        <v>615</v>
      </c>
      <c r="F1990" s="155" t="s">
        <v>614</v>
      </c>
      <c r="G1990" s="151">
        <f>91294.69*1.18</f>
        <v>107727.73419999999</v>
      </c>
      <c r="H1990" s="154">
        <v>42420</v>
      </c>
      <c r="I1990" s="154">
        <v>42627</v>
      </c>
      <c r="J1990" s="155">
        <v>91294.68</v>
      </c>
    </row>
    <row r="1991" spans="1:10" s="9" customFormat="1" ht="16.5" outlineLevel="1" x14ac:dyDescent="0.25">
      <c r="A1991" s="435"/>
      <c r="B1991" s="429"/>
      <c r="C1991" s="254" t="s">
        <v>1007</v>
      </c>
      <c r="D1991" s="53">
        <v>125515.030763332</v>
      </c>
      <c r="E1991" s="427"/>
      <c r="F1991" s="428"/>
      <c r="G1991" s="53"/>
      <c r="H1991" s="426"/>
      <c r="I1991" s="426"/>
      <c r="J1991" s="428"/>
    </row>
    <row r="1992" spans="1:10" s="7" customFormat="1" ht="16.5" x14ac:dyDescent="0.25">
      <c r="A1992" s="778" t="s">
        <v>628</v>
      </c>
      <c r="B1992" s="778"/>
      <c r="C1992" s="142"/>
      <c r="D1992" s="430">
        <f>SUM(D1988:D1991)</f>
        <v>17333242.760763332</v>
      </c>
      <c r="E1992" s="427"/>
      <c r="F1992" s="428"/>
      <c r="G1992" s="430">
        <f>SUM(G1988:G1990)</f>
        <v>17207727.734200001</v>
      </c>
      <c r="H1992" s="426"/>
      <c r="I1992" s="56"/>
      <c r="J1992" s="436">
        <f>SUM(J1988:J1990)</f>
        <v>14171632.68</v>
      </c>
    </row>
    <row r="1993" spans="1:10" s="5" customFormat="1" ht="33" x14ac:dyDescent="0.25">
      <c r="A1993" s="787">
        <v>62</v>
      </c>
      <c r="B1993" s="775" t="s">
        <v>420</v>
      </c>
      <c r="C1993" s="110" t="s">
        <v>501</v>
      </c>
      <c r="D1993" s="73">
        <v>9417000</v>
      </c>
      <c r="E1993" s="433" t="s">
        <v>971</v>
      </c>
      <c r="F1993" s="432" t="s">
        <v>972</v>
      </c>
      <c r="G1993" s="73">
        <v>8416342</v>
      </c>
      <c r="H1993" s="434">
        <v>42663</v>
      </c>
      <c r="I1993" s="434">
        <v>42710</v>
      </c>
      <c r="J1993" s="432">
        <v>7045261</v>
      </c>
    </row>
    <row r="1994" spans="1:10" s="5" customFormat="1" ht="30" customHeight="1" x14ac:dyDescent="0.25">
      <c r="A1994" s="787"/>
      <c r="B1994" s="775"/>
      <c r="C1994" s="150" t="s">
        <v>37</v>
      </c>
      <c r="D1994" s="151"/>
      <c r="E1994" s="320" t="s">
        <v>621</v>
      </c>
      <c r="F1994" s="155" t="s">
        <v>614</v>
      </c>
      <c r="G1994" s="151"/>
      <c r="H1994" s="154"/>
      <c r="I1994" s="154">
        <v>42452</v>
      </c>
      <c r="J1994" s="155">
        <v>86016.639999999999</v>
      </c>
    </row>
    <row r="1995" spans="1:10" s="7" customFormat="1" ht="33" x14ac:dyDescent="0.25">
      <c r="A1995" s="787"/>
      <c r="B1995" s="775"/>
      <c r="C1995" s="150" t="s">
        <v>37</v>
      </c>
      <c r="D1995" s="151">
        <v>211850.28</v>
      </c>
      <c r="E1995" s="320" t="s">
        <v>615</v>
      </c>
      <c r="F1995" s="155" t="s">
        <v>614</v>
      </c>
      <c r="G1995" s="151">
        <f>93517.5*1.18</f>
        <v>110350.65</v>
      </c>
      <c r="H1995" s="154">
        <v>42420</v>
      </c>
      <c r="I1995" s="154">
        <v>42577</v>
      </c>
      <c r="J1995" s="155">
        <v>93517.5</v>
      </c>
    </row>
    <row r="1996" spans="1:10" s="9" customFormat="1" ht="16.5" outlineLevel="1" x14ac:dyDescent="0.25">
      <c r="A1996" s="787"/>
      <c r="B1996" s="775"/>
      <c r="C1996" s="254" t="s">
        <v>1007</v>
      </c>
      <c r="D1996" s="53">
        <v>122400.077244235</v>
      </c>
      <c r="E1996" s="427"/>
      <c r="F1996" s="428"/>
      <c r="G1996" s="53"/>
      <c r="H1996" s="426"/>
      <c r="I1996" s="426"/>
      <c r="J1996" s="428"/>
    </row>
    <row r="1997" spans="1:10" s="7" customFormat="1" ht="16.5" x14ac:dyDescent="0.25">
      <c r="A1997" s="778" t="s">
        <v>628</v>
      </c>
      <c r="B1997" s="778"/>
      <c r="C1997" s="142"/>
      <c r="D1997" s="430">
        <f>SUM(D1993:D1996)</f>
        <v>9751250.3572442345</v>
      </c>
      <c r="E1997" s="427"/>
      <c r="F1997" s="428"/>
      <c r="G1997" s="430">
        <f>SUM(G1993:G1995)</f>
        <v>8526692.6500000004</v>
      </c>
      <c r="H1997" s="426"/>
      <c r="I1997" s="56"/>
      <c r="J1997" s="436">
        <f>SUM(J1993:J1995)</f>
        <v>7224795.1399999997</v>
      </c>
    </row>
    <row r="1998" spans="1:10" s="5" customFormat="1" ht="33" x14ac:dyDescent="0.25">
      <c r="A1998" s="787">
        <v>63</v>
      </c>
      <c r="B1998" s="764" t="s">
        <v>421</v>
      </c>
      <c r="C1998" s="110" t="s">
        <v>500</v>
      </c>
      <c r="D1998" s="73">
        <v>4784341.8600000003</v>
      </c>
      <c r="E1998" s="433" t="s">
        <v>752</v>
      </c>
      <c r="F1998" s="432" t="s">
        <v>743</v>
      </c>
      <c r="G1998" s="73">
        <v>4999999</v>
      </c>
      <c r="H1998" s="434">
        <v>42545</v>
      </c>
      <c r="I1998" s="434">
        <v>42569</v>
      </c>
      <c r="J1998" s="432">
        <v>4784341.8600000003</v>
      </c>
    </row>
    <row r="1999" spans="1:10" s="7" customFormat="1" ht="33" x14ac:dyDescent="0.25">
      <c r="A1999" s="787"/>
      <c r="B1999" s="764"/>
      <c r="C1999" s="150" t="s">
        <v>37</v>
      </c>
      <c r="D1999" s="151">
        <v>67491.429999999993</v>
      </c>
      <c r="E1999" s="320" t="s">
        <v>615</v>
      </c>
      <c r="F1999" s="155" t="s">
        <v>614</v>
      </c>
      <c r="G1999" s="151">
        <f>57196.13*1.18</f>
        <v>67491.433399999994</v>
      </c>
      <c r="H1999" s="154">
        <v>42420</v>
      </c>
      <c r="I1999" s="154">
        <v>42453</v>
      </c>
      <c r="J1999" s="155">
        <v>57196.13</v>
      </c>
    </row>
    <row r="2000" spans="1:10" s="7" customFormat="1" ht="16.5" x14ac:dyDescent="0.25">
      <c r="A2000" s="778" t="s">
        <v>628</v>
      </c>
      <c r="B2000" s="778"/>
      <c r="C2000" s="142"/>
      <c r="D2000" s="430">
        <f>SUM(D1998:D1999)</f>
        <v>4851833.29</v>
      </c>
      <c r="E2000" s="427"/>
      <c r="F2000" s="428"/>
      <c r="G2000" s="430">
        <f>SUM(G1998:G1999)</f>
        <v>5067490.4334000004</v>
      </c>
      <c r="H2000" s="426"/>
      <c r="I2000" s="56"/>
      <c r="J2000" s="436">
        <f>SUM(J1998:J1999)</f>
        <v>4841537.99</v>
      </c>
    </row>
    <row r="2001" spans="1:10" s="5" customFormat="1" ht="33" x14ac:dyDescent="0.25">
      <c r="A2001" s="787">
        <v>64</v>
      </c>
      <c r="B2001" s="775" t="s">
        <v>422</v>
      </c>
      <c r="C2001" s="73" t="s">
        <v>38</v>
      </c>
      <c r="D2001" s="73">
        <v>2157559.2000000002</v>
      </c>
      <c r="E2001" s="601" t="s">
        <v>998</v>
      </c>
      <c r="F2001" s="600" t="s">
        <v>999</v>
      </c>
      <c r="G2001" s="73">
        <v>2157559.2000000002</v>
      </c>
      <c r="H2001" s="603">
        <v>42625</v>
      </c>
      <c r="I2001" s="603">
        <v>42509</v>
      </c>
      <c r="J2001" s="600">
        <v>2624277.27</v>
      </c>
    </row>
    <row r="2002" spans="1:10" s="7" customFormat="1" ht="33" x14ac:dyDescent="0.25">
      <c r="A2002" s="787"/>
      <c r="B2002" s="775"/>
      <c r="C2002" s="73" t="s">
        <v>34</v>
      </c>
      <c r="D2002" s="73">
        <v>12652666.82</v>
      </c>
      <c r="E2002" s="601" t="s">
        <v>998</v>
      </c>
      <c r="F2002" s="600" t="s">
        <v>999</v>
      </c>
      <c r="G2002" s="600">
        <v>12652666.82</v>
      </c>
      <c r="H2002" s="603">
        <v>42625</v>
      </c>
      <c r="I2002" s="603">
        <v>42512</v>
      </c>
      <c r="J2002" s="600">
        <v>11650411.359999999</v>
      </c>
    </row>
    <row r="2003" spans="1:10" s="7" customFormat="1" ht="33" x14ac:dyDescent="0.25">
      <c r="A2003" s="787"/>
      <c r="B2003" s="775"/>
      <c r="C2003" s="150" t="s">
        <v>37</v>
      </c>
      <c r="D2003" s="151">
        <v>195138.42</v>
      </c>
      <c r="E2003" s="320" t="s">
        <v>621</v>
      </c>
      <c r="F2003" s="155" t="s">
        <v>614</v>
      </c>
      <c r="G2003" s="151">
        <f>165371.55*1.18</f>
        <v>195138.42899999997</v>
      </c>
      <c r="H2003" s="154">
        <v>42384</v>
      </c>
      <c r="I2003" s="154">
        <v>42452</v>
      </c>
      <c r="J2003" s="155">
        <v>165371.54999999999</v>
      </c>
    </row>
    <row r="2004" spans="1:10" s="9" customFormat="1" ht="16.5" outlineLevel="1" x14ac:dyDescent="0.25">
      <c r="A2004" s="787"/>
      <c r="B2004" s="775"/>
      <c r="C2004" s="254" t="s">
        <v>1007</v>
      </c>
      <c r="D2004" s="53">
        <v>87179.542507618506</v>
      </c>
      <c r="E2004" s="427"/>
      <c r="F2004" s="428"/>
      <c r="G2004" s="53"/>
      <c r="H2004" s="426"/>
      <c r="I2004" s="426"/>
      <c r="J2004" s="428"/>
    </row>
    <row r="2005" spans="1:10" s="7" customFormat="1" ht="16.5" x14ac:dyDescent="0.25">
      <c r="A2005" s="778" t="s">
        <v>628</v>
      </c>
      <c r="B2005" s="778"/>
      <c r="C2005" s="141"/>
      <c r="D2005" s="430">
        <f>SUM(D2001:D2004)</f>
        <v>15092543.982507618</v>
      </c>
      <c r="E2005" s="427"/>
      <c r="F2005" s="428"/>
      <c r="G2005" s="430">
        <f>SUM(G2001:G2003)</f>
        <v>15005364.448999999</v>
      </c>
      <c r="H2005" s="426"/>
      <c r="I2005" s="56"/>
      <c r="J2005" s="436">
        <f>SUM(J2001:J2003)</f>
        <v>14440060.18</v>
      </c>
    </row>
    <row r="2006" spans="1:10" s="5" customFormat="1" ht="33" x14ac:dyDescent="0.25">
      <c r="A2006" s="787">
        <v>65</v>
      </c>
      <c r="B2006" s="764" t="s">
        <v>423</v>
      </c>
      <c r="C2006" s="110" t="s">
        <v>500</v>
      </c>
      <c r="D2006" s="73">
        <v>5472956.4500000002</v>
      </c>
      <c r="E2006" s="433" t="s">
        <v>845</v>
      </c>
      <c r="F2006" s="432" t="s">
        <v>719</v>
      </c>
      <c r="G2006" s="73">
        <v>5664888.54</v>
      </c>
      <c r="H2006" s="434">
        <v>42593</v>
      </c>
      <c r="I2006" s="434">
        <v>42587</v>
      </c>
      <c r="J2006" s="432">
        <v>5472956.4500000002</v>
      </c>
    </row>
    <row r="2007" spans="1:10" s="7" customFormat="1" ht="33" x14ac:dyDescent="0.25">
      <c r="A2007" s="787"/>
      <c r="B2007" s="764"/>
      <c r="C2007" s="150" t="s">
        <v>37</v>
      </c>
      <c r="D2007" s="151">
        <v>97527.79</v>
      </c>
      <c r="E2007" s="320" t="s">
        <v>615</v>
      </c>
      <c r="F2007" s="155" t="s">
        <v>614</v>
      </c>
      <c r="G2007" s="151">
        <f>82650.67*1.18</f>
        <v>97527.790599999993</v>
      </c>
      <c r="H2007" s="154">
        <v>42420</v>
      </c>
      <c r="I2007" s="154">
        <v>42529</v>
      </c>
      <c r="J2007" s="155">
        <v>82650.67</v>
      </c>
    </row>
    <row r="2008" spans="1:10" s="7" customFormat="1" ht="16.5" x14ac:dyDescent="0.25">
      <c r="A2008" s="778" t="s">
        <v>628</v>
      </c>
      <c r="B2008" s="778"/>
      <c r="C2008" s="142"/>
      <c r="D2008" s="430">
        <f>SUM(D2006:D2007)</f>
        <v>5570484.2400000002</v>
      </c>
      <c r="E2008" s="427"/>
      <c r="F2008" s="428"/>
      <c r="G2008" s="430">
        <f>SUM(G2006:G2007)</f>
        <v>5762416.3306</v>
      </c>
      <c r="H2008" s="426"/>
      <c r="I2008" s="56"/>
      <c r="J2008" s="436">
        <f>SUM(J2006:J2007)</f>
        <v>5555607.1200000001</v>
      </c>
    </row>
    <row r="2009" spans="1:10" s="5" customFormat="1" ht="33" x14ac:dyDescent="0.25">
      <c r="A2009" s="787">
        <v>66</v>
      </c>
      <c r="B2009" s="764" t="s">
        <v>424</v>
      </c>
      <c r="C2009" s="110" t="s">
        <v>500</v>
      </c>
      <c r="D2009" s="73">
        <v>4052461.02</v>
      </c>
      <c r="E2009" s="433" t="s">
        <v>837</v>
      </c>
      <c r="F2009" s="432" t="s">
        <v>743</v>
      </c>
      <c r="G2009" s="73">
        <v>4099000</v>
      </c>
      <c r="H2009" s="434">
        <v>42591</v>
      </c>
      <c r="I2009" s="434">
        <v>42591</v>
      </c>
      <c r="J2009" s="432">
        <v>4052461.02</v>
      </c>
    </row>
    <row r="2010" spans="1:10" s="7" customFormat="1" ht="33" x14ac:dyDescent="0.25">
      <c r="A2010" s="787"/>
      <c r="B2010" s="764"/>
      <c r="C2010" s="150" t="s">
        <v>37</v>
      </c>
      <c r="D2010" s="151">
        <v>77207.320000000007</v>
      </c>
      <c r="E2010" s="320" t="s">
        <v>615</v>
      </c>
      <c r="F2010" s="155" t="s">
        <v>614</v>
      </c>
      <c r="G2010" s="151">
        <f>65429.93*1.18</f>
        <v>77207.3174</v>
      </c>
      <c r="H2010" s="154">
        <v>42420</v>
      </c>
      <c r="I2010" s="154">
        <v>42502</v>
      </c>
      <c r="J2010" s="155">
        <v>65429.93</v>
      </c>
    </row>
    <row r="2011" spans="1:10" s="7" customFormat="1" ht="16.5" x14ac:dyDescent="0.25">
      <c r="A2011" s="778" t="s">
        <v>628</v>
      </c>
      <c r="B2011" s="778"/>
      <c r="C2011" s="142"/>
      <c r="D2011" s="430">
        <f>SUM(D2009:D2010)</f>
        <v>4129668.34</v>
      </c>
      <c r="E2011" s="427"/>
      <c r="F2011" s="428"/>
      <c r="G2011" s="430">
        <f>SUM(G2009:G2010)</f>
        <v>4176207.3174000001</v>
      </c>
      <c r="H2011" s="426"/>
      <c r="I2011" s="56"/>
      <c r="J2011" s="436">
        <f>SUM(J2009:J2010)</f>
        <v>4117890.95</v>
      </c>
    </row>
    <row r="2012" spans="1:10" s="7" customFormat="1" ht="33" x14ac:dyDescent="0.25">
      <c r="A2012" s="787">
        <v>67</v>
      </c>
      <c r="B2012" s="775" t="s">
        <v>425</v>
      </c>
      <c r="C2012" s="73" t="s">
        <v>38</v>
      </c>
      <c r="D2012" s="73">
        <v>2306145.48</v>
      </c>
      <c r="E2012" s="601" t="s">
        <v>998</v>
      </c>
      <c r="F2012" s="600" t="s">
        <v>999</v>
      </c>
      <c r="G2012" s="73">
        <v>2306145.48</v>
      </c>
      <c r="H2012" s="603">
        <v>42625</v>
      </c>
      <c r="I2012" s="603">
        <v>42874</v>
      </c>
      <c r="J2012" s="600">
        <v>2009977.23</v>
      </c>
    </row>
    <row r="2013" spans="1:10" s="7" customFormat="1" ht="33" x14ac:dyDescent="0.25">
      <c r="A2013" s="787"/>
      <c r="B2013" s="775"/>
      <c r="C2013" s="73" t="s">
        <v>34</v>
      </c>
      <c r="D2013" s="73">
        <v>9781027.0800000001</v>
      </c>
      <c r="E2013" s="601" t="s">
        <v>998</v>
      </c>
      <c r="F2013" s="600" t="s">
        <v>999</v>
      </c>
      <c r="G2013" s="600">
        <v>9781027.0800000001</v>
      </c>
      <c r="H2013" s="603">
        <v>42625</v>
      </c>
      <c r="I2013" s="603">
        <v>42877</v>
      </c>
      <c r="J2013" s="600">
        <v>7871570.2999999998</v>
      </c>
    </row>
    <row r="2014" spans="1:10" s="7" customFormat="1" ht="33" x14ac:dyDescent="0.25">
      <c r="A2014" s="787"/>
      <c r="B2014" s="775"/>
      <c r="C2014" s="141" t="s">
        <v>35</v>
      </c>
      <c r="D2014" s="141">
        <v>4784373.72</v>
      </c>
      <c r="E2014" s="427" t="s">
        <v>998</v>
      </c>
      <c r="F2014" s="428" t="s">
        <v>999</v>
      </c>
      <c r="G2014" s="141">
        <v>4784373.72</v>
      </c>
      <c r="H2014" s="426">
        <v>42625</v>
      </c>
      <c r="I2014" s="56"/>
      <c r="J2014" s="428"/>
    </row>
    <row r="2015" spans="1:10" s="7" customFormat="1" ht="33" x14ac:dyDescent="0.25">
      <c r="A2015" s="787"/>
      <c r="B2015" s="775"/>
      <c r="C2015" s="141" t="s">
        <v>36</v>
      </c>
      <c r="D2015" s="141">
        <v>361658.2</v>
      </c>
      <c r="E2015" s="427" t="s">
        <v>998</v>
      </c>
      <c r="F2015" s="428" t="s">
        <v>999</v>
      </c>
      <c r="G2015" s="141">
        <v>361658.2</v>
      </c>
      <c r="H2015" s="426">
        <v>42625</v>
      </c>
      <c r="I2015" s="56"/>
      <c r="J2015" s="428"/>
    </row>
    <row r="2016" spans="1:10" s="7" customFormat="1" ht="39.75" customHeight="1" x14ac:dyDescent="0.25">
      <c r="A2016" s="787"/>
      <c r="B2016" s="775"/>
      <c r="C2016" s="110" t="s">
        <v>501</v>
      </c>
      <c r="D2016" s="73">
        <v>7811421.75</v>
      </c>
      <c r="E2016" s="433" t="s">
        <v>885</v>
      </c>
      <c r="F2016" s="432" t="s">
        <v>723</v>
      </c>
      <c r="G2016" s="73">
        <v>9000000</v>
      </c>
      <c r="H2016" s="434">
        <v>42633</v>
      </c>
      <c r="I2016" s="434">
        <v>42671</v>
      </c>
      <c r="J2016" s="432">
        <v>7811421.75</v>
      </c>
    </row>
    <row r="2017" spans="1:10" s="7" customFormat="1" ht="33" x14ac:dyDescent="0.25">
      <c r="A2017" s="787"/>
      <c r="B2017" s="775"/>
      <c r="C2017" s="150" t="s">
        <v>37</v>
      </c>
      <c r="D2017" s="151">
        <v>496911.09</v>
      </c>
      <c r="E2017" s="320" t="s">
        <v>621</v>
      </c>
      <c r="F2017" s="155" t="s">
        <v>614</v>
      </c>
      <c r="G2017" s="151">
        <f>421111.12*1.18</f>
        <v>496911.12159999995</v>
      </c>
      <c r="H2017" s="154">
        <v>42384</v>
      </c>
      <c r="I2017" s="154">
        <v>42452</v>
      </c>
      <c r="J2017" s="155">
        <v>421111.12</v>
      </c>
    </row>
    <row r="2018" spans="1:10" s="9" customFormat="1" ht="16.5" outlineLevel="1" x14ac:dyDescent="0.25">
      <c r="A2018" s="787"/>
      <c r="B2018" s="775"/>
      <c r="C2018" s="254" t="s">
        <v>1007</v>
      </c>
      <c r="D2018" s="53">
        <v>274657.73639203602</v>
      </c>
      <c r="E2018" s="427"/>
      <c r="F2018" s="428"/>
      <c r="G2018" s="53"/>
      <c r="H2018" s="426"/>
      <c r="I2018" s="426"/>
      <c r="J2018" s="428"/>
    </row>
    <row r="2019" spans="1:10" s="7" customFormat="1" ht="16.5" x14ac:dyDescent="0.25">
      <c r="A2019" s="778" t="s">
        <v>628</v>
      </c>
      <c r="B2019" s="778"/>
      <c r="C2019" s="141"/>
      <c r="D2019" s="430">
        <f>SUM(D2012:D2018)</f>
        <v>25816195.056392036</v>
      </c>
      <c r="E2019" s="427"/>
      <c r="F2019" s="428"/>
      <c r="G2019" s="430">
        <f>SUM(G2012:G2017)</f>
        <v>26730115.601599999</v>
      </c>
      <c r="H2019" s="426"/>
      <c r="I2019" s="56"/>
      <c r="J2019" s="436">
        <f>SUM(J2012:J2017)</f>
        <v>18114080.400000002</v>
      </c>
    </row>
    <row r="2020" spans="1:10" s="7" customFormat="1" ht="31.5" customHeight="1" x14ac:dyDescent="0.25">
      <c r="A2020" s="787">
        <v>68</v>
      </c>
      <c r="B2020" s="764" t="s">
        <v>609</v>
      </c>
      <c r="C2020" s="110" t="s">
        <v>500</v>
      </c>
      <c r="D2020" s="73">
        <v>4845762.7</v>
      </c>
      <c r="E2020" s="433" t="s">
        <v>993</v>
      </c>
      <c r="F2020" s="432" t="s">
        <v>731</v>
      </c>
      <c r="G2020" s="73">
        <v>5400000</v>
      </c>
      <c r="H2020" s="434">
        <v>42641</v>
      </c>
      <c r="I2020" s="434">
        <v>42661</v>
      </c>
      <c r="J2020" s="432">
        <v>4845762.7</v>
      </c>
    </row>
    <row r="2021" spans="1:10" s="7" customFormat="1" ht="33" x14ac:dyDescent="0.25">
      <c r="A2021" s="787"/>
      <c r="B2021" s="764"/>
      <c r="C2021" s="150" t="s">
        <v>37</v>
      </c>
      <c r="D2021" s="151">
        <v>98325.03</v>
      </c>
      <c r="E2021" s="320" t="s">
        <v>616</v>
      </c>
      <c r="F2021" s="155" t="s">
        <v>614</v>
      </c>
      <c r="G2021" s="151">
        <f>83326.3*1.18</f>
        <v>98325.034</v>
      </c>
      <c r="H2021" s="154">
        <v>42420</v>
      </c>
      <c r="I2021" s="154">
        <v>42577</v>
      </c>
      <c r="J2021" s="155">
        <v>83326.3</v>
      </c>
    </row>
    <row r="2022" spans="1:10" s="7" customFormat="1" ht="16.5" x14ac:dyDescent="0.25">
      <c r="A2022" s="778" t="s">
        <v>628</v>
      </c>
      <c r="B2022" s="778"/>
      <c r="C2022" s="142"/>
      <c r="D2022" s="430">
        <f>SUM(D2020:D2021)</f>
        <v>4944087.7300000004</v>
      </c>
      <c r="E2022" s="427"/>
      <c r="F2022" s="428"/>
      <c r="G2022" s="430">
        <f>SUM(G2020:G2021)</f>
        <v>5498325.034</v>
      </c>
      <c r="H2022" s="426"/>
      <c r="I2022" s="56"/>
      <c r="J2022" s="436">
        <f>SUM(J2020:J2021)</f>
        <v>4929089</v>
      </c>
    </row>
    <row r="2023" spans="1:10" s="7" customFormat="1" ht="31.5" customHeight="1" x14ac:dyDescent="0.25">
      <c r="A2023" s="787">
        <v>69</v>
      </c>
      <c r="B2023" s="764" t="s">
        <v>426</v>
      </c>
      <c r="C2023" s="110" t="s">
        <v>500</v>
      </c>
      <c r="D2023" s="73">
        <v>7098210.9400000004</v>
      </c>
      <c r="E2023" s="433" t="s">
        <v>981</v>
      </c>
      <c r="F2023" s="432" t="s">
        <v>660</v>
      </c>
      <c r="G2023" s="73">
        <v>7174501.4800000004</v>
      </c>
      <c r="H2023" s="434">
        <v>42671</v>
      </c>
      <c r="I2023" s="434">
        <v>42667</v>
      </c>
      <c r="J2023" s="432">
        <v>7098210.9400000004</v>
      </c>
    </row>
    <row r="2024" spans="1:10" s="7" customFormat="1" ht="33" x14ac:dyDescent="0.25">
      <c r="A2024" s="787"/>
      <c r="B2024" s="764"/>
      <c r="C2024" s="150" t="s">
        <v>37</v>
      </c>
      <c r="D2024" s="151">
        <v>79991.47</v>
      </c>
      <c r="E2024" s="320" t="s">
        <v>616</v>
      </c>
      <c r="F2024" s="155" t="s">
        <v>614</v>
      </c>
      <c r="G2024" s="151">
        <f>67789.38*1.18</f>
        <v>79991.468399999998</v>
      </c>
      <c r="H2024" s="154">
        <v>42420</v>
      </c>
      <c r="I2024" s="154">
        <v>42577</v>
      </c>
      <c r="J2024" s="155">
        <v>67789.38</v>
      </c>
    </row>
    <row r="2025" spans="1:10" s="7" customFormat="1" ht="16.5" x14ac:dyDescent="0.25">
      <c r="A2025" s="778" t="s">
        <v>628</v>
      </c>
      <c r="B2025" s="778"/>
      <c r="C2025" s="142"/>
      <c r="D2025" s="430">
        <f>SUM(D2023:D2024)</f>
        <v>7178202.4100000001</v>
      </c>
      <c r="E2025" s="427"/>
      <c r="F2025" s="428"/>
      <c r="G2025" s="430">
        <f>SUM(G2023:G2024)</f>
        <v>7254492.9484000001</v>
      </c>
      <c r="H2025" s="426"/>
      <c r="I2025" s="56"/>
      <c r="J2025" s="436">
        <f>SUM(J2023:J2024)</f>
        <v>7166000.3200000003</v>
      </c>
    </row>
    <row r="2026" spans="1:10" s="7" customFormat="1" ht="33" x14ac:dyDescent="0.25">
      <c r="A2026" s="787">
        <v>70</v>
      </c>
      <c r="B2026" s="764" t="s">
        <v>427</v>
      </c>
      <c r="C2026" s="110" t="s">
        <v>500</v>
      </c>
      <c r="D2026" s="73">
        <v>9418990.8399999999</v>
      </c>
      <c r="E2026" s="433" t="s">
        <v>981</v>
      </c>
      <c r="F2026" s="432" t="s">
        <v>660</v>
      </c>
      <c r="G2026" s="73">
        <v>8418990.8399999999</v>
      </c>
      <c r="H2026" s="434">
        <v>42671</v>
      </c>
      <c r="I2026" s="434">
        <v>42692</v>
      </c>
      <c r="J2026" s="432">
        <v>7629243.9800000004</v>
      </c>
    </row>
    <row r="2027" spans="1:10" s="7" customFormat="1" ht="33" x14ac:dyDescent="0.25">
      <c r="A2027" s="787"/>
      <c r="B2027" s="764"/>
      <c r="C2027" s="150" t="s">
        <v>37</v>
      </c>
      <c r="D2027" s="151">
        <v>88032.78</v>
      </c>
      <c r="E2027" s="320" t="s">
        <v>616</v>
      </c>
      <c r="F2027" s="155" t="s">
        <v>614</v>
      </c>
      <c r="G2027" s="151">
        <f>74604.05*1.18</f>
        <v>88032.778999999995</v>
      </c>
      <c r="H2027" s="154">
        <v>42420</v>
      </c>
      <c r="I2027" s="154">
        <v>42577</v>
      </c>
      <c r="J2027" s="155">
        <v>74604.05</v>
      </c>
    </row>
    <row r="2028" spans="1:10" s="9" customFormat="1" ht="16.5" outlineLevel="1" x14ac:dyDescent="0.25">
      <c r="A2028" s="787"/>
      <c r="B2028" s="764"/>
      <c r="C2028" s="254" t="s">
        <v>1007</v>
      </c>
      <c r="D2028" s="53">
        <v>92744.911375020805</v>
      </c>
      <c r="E2028" s="427"/>
      <c r="F2028" s="428"/>
      <c r="G2028" s="53"/>
      <c r="H2028" s="426"/>
      <c r="I2028" s="426"/>
      <c r="J2028" s="428"/>
    </row>
    <row r="2029" spans="1:10" s="7" customFormat="1" ht="16.5" x14ac:dyDescent="0.25">
      <c r="A2029" s="778" t="s">
        <v>628</v>
      </c>
      <c r="B2029" s="778"/>
      <c r="C2029" s="142"/>
      <c r="D2029" s="430">
        <f>SUM(D2026:D2028)</f>
        <v>9599768.5313750207</v>
      </c>
      <c r="E2029" s="427"/>
      <c r="F2029" s="428"/>
      <c r="G2029" s="430">
        <f>SUM(G2026:G2027)</f>
        <v>8507023.618999999</v>
      </c>
      <c r="H2029" s="426"/>
      <c r="I2029" s="56"/>
      <c r="J2029" s="436">
        <f>SUM(J2026:J2027)</f>
        <v>7703848.0300000003</v>
      </c>
    </row>
    <row r="2030" spans="1:10" s="7" customFormat="1" ht="31.5" customHeight="1" x14ac:dyDescent="0.25">
      <c r="A2030" s="787">
        <v>71</v>
      </c>
      <c r="B2030" s="764" t="s">
        <v>428</v>
      </c>
      <c r="C2030" s="110" t="s">
        <v>500</v>
      </c>
      <c r="D2030" s="73">
        <v>13220838.300000001</v>
      </c>
      <c r="E2030" s="433" t="s">
        <v>981</v>
      </c>
      <c r="F2030" s="432" t="s">
        <v>660</v>
      </c>
      <c r="G2030" s="73">
        <v>11220838.300000001</v>
      </c>
      <c r="H2030" s="434">
        <v>42671</v>
      </c>
      <c r="I2030" s="434">
        <v>42692</v>
      </c>
      <c r="J2030" s="432">
        <v>9963936.5199999996</v>
      </c>
    </row>
    <row r="2031" spans="1:10" s="7" customFormat="1" ht="33" x14ac:dyDescent="0.25">
      <c r="A2031" s="787"/>
      <c r="B2031" s="764"/>
      <c r="C2031" s="150" t="s">
        <v>37</v>
      </c>
      <c r="D2031" s="151">
        <v>99585.77</v>
      </c>
      <c r="E2031" s="320" t="s">
        <v>616</v>
      </c>
      <c r="F2031" s="155" t="s">
        <v>614</v>
      </c>
      <c r="G2031" s="151">
        <f>84394.72*1.18</f>
        <v>99585.7696</v>
      </c>
      <c r="H2031" s="154">
        <v>42420</v>
      </c>
      <c r="I2031" s="154">
        <v>42577</v>
      </c>
      <c r="J2031" s="155">
        <v>84394.72</v>
      </c>
    </row>
    <row r="2032" spans="1:10" s="9" customFormat="1" ht="16.5" outlineLevel="1" x14ac:dyDescent="0.25">
      <c r="A2032" s="787"/>
      <c r="B2032" s="764"/>
      <c r="C2032" s="254" t="s">
        <v>1007</v>
      </c>
      <c r="D2032" s="53">
        <v>97470.3815119426</v>
      </c>
      <c r="E2032" s="427"/>
      <c r="F2032" s="428"/>
      <c r="G2032" s="53"/>
      <c r="H2032" s="426"/>
      <c r="I2032" s="426"/>
      <c r="J2032" s="428"/>
    </row>
    <row r="2033" spans="1:10" s="7" customFormat="1" ht="16.5" x14ac:dyDescent="0.25">
      <c r="A2033" s="778" t="s">
        <v>628</v>
      </c>
      <c r="B2033" s="778"/>
      <c r="C2033" s="142"/>
      <c r="D2033" s="430">
        <f>SUM(D2030:D2032)</f>
        <v>13417894.451511944</v>
      </c>
      <c r="E2033" s="427"/>
      <c r="F2033" s="428"/>
      <c r="G2033" s="430">
        <f>SUM(G2030:G2031)</f>
        <v>11320424.069600001</v>
      </c>
      <c r="H2033" s="426"/>
      <c r="I2033" s="56"/>
      <c r="J2033" s="436">
        <f>SUM(J2030:J2031)</f>
        <v>10048331.24</v>
      </c>
    </row>
    <row r="2034" spans="1:10" s="7" customFormat="1" ht="33" x14ac:dyDescent="0.25">
      <c r="A2034" s="425">
        <v>72</v>
      </c>
      <c r="B2034" s="425" t="s">
        <v>1341</v>
      </c>
      <c r="C2034" s="142" t="s">
        <v>37</v>
      </c>
      <c r="D2034" s="141">
        <v>99391.16</v>
      </c>
      <c r="E2034" s="427"/>
      <c r="F2034" s="428"/>
      <c r="G2034" s="430"/>
      <c r="H2034" s="426"/>
      <c r="I2034" s="56"/>
      <c r="J2034" s="141"/>
    </row>
    <row r="2035" spans="1:10" s="7" customFormat="1" ht="16.5" x14ac:dyDescent="0.25">
      <c r="A2035" s="778" t="s">
        <v>628</v>
      </c>
      <c r="B2035" s="778"/>
      <c r="C2035" s="142"/>
      <c r="D2035" s="430">
        <f>SUM(D2034:D2034)</f>
        <v>99391.16</v>
      </c>
      <c r="E2035" s="427"/>
      <c r="F2035" s="428"/>
      <c r="G2035" s="430">
        <f>SUM(G2034:G2034)</f>
        <v>0</v>
      </c>
      <c r="H2035" s="426"/>
      <c r="I2035" s="56"/>
      <c r="J2035" s="141">
        <f>SUM(J2034:J2034)</f>
        <v>0</v>
      </c>
    </row>
    <row r="2036" spans="1:10" s="7" customFormat="1" ht="31.5" customHeight="1" x14ac:dyDescent="0.25">
      <c r="A2036" s="787">
        <v>73</v>
      </c>
      <c r="B2036" s="764" t="s">
        <v>429</v>
      </c>
      <c r="C2036" s="110" t="s">
        <v>500</v>
      </c>
      <c r="D2036" s="73">
        <v>4143944.02</v>
      </c>
      <c r="E2036" s="433" t="s">
        <v>925</v>
      </c>
      <c r="F2036" s="432" t="s">
        <v>721</v>
      </c>
      <c r="G2036" s="73">
        <v>7649000</v>
      </c>
      <c r="H2036" s="434">
        <v>42638</v>
      </c>
      <c r="I2036" s="434">
        <v>42667</v>
      </c>
      <c r="J2036" s="432">
        <v>4143944.02</v>
      </c>
    </row>
    <row r="2037" spans="1:10" s="7" customFormat="1" ht="33" x14ac:dyDescent="0.25">
      <c r="A2037" s="787"/>
      <c r="B2037" s="764"/>
      <c r="C2037" s="150" t="s">
        <v>37</v>
      </c>
      <c r="D2037" s="151">
        <v>103868.49</v>
      </c>
      <c r="E2037" s="320" t="s">
        <v>616</v>
      </c>
      <c r="F2037" s="155" t="s">
        <v>614</v>
      </c>
      <c r="G2037" s="151">
        <f>88024.14*1.18</f>
        <v>103868.4852</v>
      </c>
      <c r="H2037" s="154">
        <v>42420</v>
      </c>
      <c r="I2037" s="154">
        <v>42570</v>
      </c>
      <c r="J2037" s="155">
        <v>88024.14</v>
      </c>
    </row>
    <row r="2038" spans="1:10" s="7" customFormat="1" ht="16.5" x14ac:dyDescent="0.25">
      <c r="A2038" s="778" t="s">
        <v>628</v>
      </c>
      <c r="B2038" s="778"/>
      <c r="C2038" s="142"/>
      <c r="D2038" s="430">
        <f>SUM(D2036:D2037)</f>
        <v>4247812.51</v>
      </c>
      <c r="E2038" s="427"/>
      <c r="F2038" s="428"/>
      <c r="G2038" s="430">
        <f>SUM(G2036:G2037)</f>
        <v>7752868.4852</v>
      </c>
      <c r="H2038" s="426"/>
      <c r="I2038" s="56"/>
      <c r="J2038" s="436">
        <f>SUM(J2036:J2037)</f>
        <v>4231968.16</v>
      </c>
    </row>
    <row r="2039" spans="1:10" s="7" customFormat="1" ht="31.5" customHeight="1" x14ac:dyDescent="0.25">
      <c r="A2039" s="787">
        <v>74</v>
      </c>
      <c r="B2039" s="764" t="s">
        <v>430</v>
      </c>
      <c r="C2039" s="110" t="s">
        <v>500</v>
      </c>
      <c r="D2039" s="73">
        <v>1900502.85</v>
      </c>
      <c r="E2039" s="433" t="s">
        <v>1014</v>
      </c>
      <c r="F2039" s="432" t="s">
        <v>721</v>
      </c>
      <c r="G2039" s="73">
        <v>3580000</v>
      </c>
      <c r="H2039" s="434">
        <v>42655</v>
      </c>
      <c r="I2039" s="434">
        <v>42665</v>
      </c>
      <c r="J2039" s="432">
        <v>1900502.85</v>
      </c>
    </row>
    <row r="2040" spans="1:10" s="7" customFormat="1" ht="33" x14ac:dyDescent="0.25">
      <c r="A2040" s="787"/>
      <c r="B2040" s="764"/>
      <c r="C2040" s="150" t="s">
        <v>37</v>
      </c>
      <c r="D2040" s="151">
        <v>95332.18</v>
      </c>
      <c r="E2040" s="320" t="s">
        <v>616</v>
      </c>
      <c r="F2040" s="155" t="s">
        <v>614</v>
      </c>
      <c r="G2040" s="151">
        <f>80789.98*1.18</f>
        <v>95332.176399999997</v>
      </c>
      <c r="H2040" s="154">
        <v>42420</v>
      </c>
      <c r="I2040" s="154">
        <v>42620</v>
      </c>
      <c r="J2040" s="155">
        <v>80789.98</v>
      </c>
    </row>
    <row r="2041" spans="1:10" s="7" customFormat="1" ht="16.5" x14ac:dyDescent="0.25">
      <c r="A2041" s="778" t="s">
        <v>628</v>
      </c>
      <c r="B2041" s="778"/>
      <c r="C2041" s="142"/>
      <c r="D2041" s="430">
        <f>SUM(D2039:D2040)</f>
        <v>1995835.03</v>
      </c>
      <c r="E2041" s="427"/>
      <c r="F2041" s="428"/>
      <c r="G2041" s="430">
        <f>SUM(G2039:G2040)</f>
        <v>3675332.1764000002</v>
      </c>
      <c r="H2041" s="426"/>
      <c r="I2041" s="56"/>
      <c r="J2041" s="436">
        <f>SUM(J2039:J2040)</f>
        <v>1981292.83</v>
      </c>
    </row>
    <row r="2042" spans="1:10" s="7" customFormat="1" ht="31.5" customHeight="1" x14ac:dyDescent="0.25">
      <c r="A2042" s="787">
        <v>75</v>
      </c>
      <c r="B2042" s="775" t="s">
        <v>431</v>
      </c>
      <c r="C2042" s="110" t="s">
        <v>500</v>
      </c>
      <c r="D2042" s="73">
        <v>8666526.2699999996</v>
      </c>
      <c r="E2042" s="433" t="s">
        <v>682</v>
      </c>
      <c r="F2042" s="432" t="s">
        <v>675</v>
      </c>
      <c r="G2042" s="73">
        <v>10292425.5</v>
      </c>
      <c r="H2042" s="434">
        <v>42505</v>
      </c>
      <c r="I2042" s="434">
        <v>42520</v>
      </c>
      <c r="J2042" s="432">
        <v>8666526.2699999996</v>
      </c>
    </row>
    <row r="2043" spans="1:10" s="7" customFormat="1" ht="33" x14ac:dyDescent="0.25">
      <c r="A2043" s="787"/>
      <c r="B2043" s="775"/>
      <c r="C2043" s="150" t="s">
        <v>37</v>
      </c>
      <c r="D2043" s="151">
        <v>98524.49</v>
      </c>
      <c r="E2043" s="320" t="s">
        <v>621</v>
      </c>
      <c r="F2043" s="155" t="s">
        <v>614</v>
      </c>
      <c r="G2043" s="151">
        <f>83495.34*1.18</f>
        <v>98524.501199999984</v>
      </c>
      <c r="H2043" s="154">
        <v>42384</v>
      </c>
      <c r="I2043" s="154">
        <v>42403</v>
      </c>
      <c r="J2043" s="155">
        <v>83495.34</v>
      </c>
    </row>
    <row r="2044" spans="1:10" s="7" customFormat="1" ht="16.5" x14ac:dyDescent="0.25">
      <c r="A2044" s="778" t="s">
        <v>628</v>
      </c>
      <c r="B2044" s="778"/>
      <c r="C2044" s="142"/>
      <c r="D2044" s="430">
        <f>SUM(D2042:D2043)</f>
        <v>8765050.7599999998</v>
      </c>
      <c r="E2044" s="427"/>
      <c r="F2044" s="428"/>
      <c r="G2044" s="430">
        <f>SUM(G2042:G2043)</f>
        <v>10390950.0012</v>
      </c>
      <c r="H2044" s="426"/>
      <c r="I2044" s="56"/>
      <c r="J2044" s="436">
        <f t="shared" ref="J2044" si="56">SUM(J2042:J2043)</f>
        <v>8750021.6099999994</v>
      </c>
    </row>
    <row r="2045" spans="1:10" s="20" customFormat="1" ht="31.5" customHeight="1" x14ac:dyDescent="0.25">
      <c r="A2045" s="787">
        <v>76</v>
      </c>
      <c r="B2045" s="764" t="s">
        <v>432</v>
      </c>
      <c r="C2045" s="110" t="s">
        <v>500</v>
      </c>
      <c r="D2045" s="73">
        <v>8258445.5</v>
      </c>
      <c r="E2045" s="433" t="s">
        <v>974</v>
      </c>
      <c r="F2045" s="432" t="s">
        <v>743</v>
      </c>
      <c r="G2045" s="73">
        <v>7258445.5</v>
      </c>
      <c r="H2045" s="434">
        <v>42703</v>
      </c>
      <c r="I2045" s="434">
        <v>42719</v>
      </c>
      <c r="J2045" s="432">
        <v>6631149.2400000002</v>
      </c>
    </row>
    <row r="2046" spans="1:10" s="7" customFormat="1" ht="33" x14ac:dyDescent="0.25">
      <c r="A2046" s="787"/>
      <c r="B2046" s="764"/>
      <c r="C2046" s="150" t="s">
        <v>37</v>
      </c>
      <c r="D2046" s="151">
        <v>100788.45</v>
      </c>
      <c r="E2046" s="320" t="s">
        <v>616</v>
      </c>
      <c r="F2046" s="155" t="s">
        <v>614</v>
      </c>
      <c r="G2046" s="151">
        <f>85413.94*1.18</f>
        <v>100788.4492</v>
      </c>
      <c r="H2046" s="154">
        <v>42420</v>
      </c>
      <c r="I2046" s="154">
        <v>42570</v>
      </c>
      <c r="J2046" s="155">
        <v>85413.94</v>
      </c>
    </row>
    <row r="2047" spans="1:10" s="9" customFormat="1" ht="16.5" outlineLevel="1" x14ac:dyDescent="0.25">
      <c r="A2047" s="787"/>
      <c r="B2047" s="764"/>
      <c r="C2047" s="254" t="s">
        <v>1007</v>
      </c>
      <c r="D2047" s="53">
        <v>52268.429996203296</v>
      </c>
      <c r="E2047" s="427"/>
      <c r="F2047" s="428"/>
      <c r="G2047" s="53"/>
      <c r="H2047" s="426"/>
      <c r="I2047" s="426"/>
      <c r="J2047" s="428"/>
    </row>
    <row r="2048" spans="1:10" s="7" customFormat="1" ht="16.5" x14ac:dyDescent="0.25">
      <c r="A2048" s="778" t="s">
        <v>628</v>
      </c>
      <c r="B2048" s="778"/>
      <c r="C2048" s="142"/>
      <c r="D2048" s="430">
        <f>SUM(D2045:D2047)</f>
        <v>8411502.3799962029</v>
      </c>
      <c r="E2048" s="427"/>
      <c r="F2048" s="428"/>
      <c r="G2048" s="430">
        <f>SUM(G2045:G2046)</f>
        <v>7359233.9491999997</v>
      </c>
      <c r="H2048" s="426"/>
      <c r="I2048" s="56"/>
      <c r="J2048" s="436">
        <f>SUM(J2045:J2046)</f>
        <v>6716563.1800000006</v>
      </c>
    </row>
    <row r="2049" spans="1:10" s="20" customFormat="1" ht="31.5" customHeight="1" x14ac:dyDescent="0.25">
      <c r="A2049" s="787">
        <v>77</v>
      </c>
      <c r="B2049" s="764" t="s">
        <v>433</v>
      </c>
      <c r="C2049" s="110" t="s">
        <v>500</v>
      </c>
      <c r="D2049" s="73">
        <v>9398584.3599999994</v>
      </c>
      <c r="E2049" s="433" t="s">
        <v>974</v>
      </c>
      <c r="F2049" s="432" t="s">
        <v>743</v>
      </c>
      <c r="G2049" s="73">
        <v>9398584.3599999994</v>
      </c>
      <c r="H2049" s="434">
        <v>42673</v>
      </c>
      <c r="I2049" s="434">
        <v>42719</v>
      </c>
      <c r="J2049" s="432">
        <v>7715936.2199999997</v>
      </c>
    </row>
    <row r="2050" spans="1:10" s="7" customFormat="1" ht="33" x14ac:dyDescent="0.25">
      <c r="A2050" s="787"/>
      <c r="B2050" s="764"/>
      <c r="C2050" s="150" t="s">
        <v>37</v>
      </c>
      <c r="D2050" s="151">
        <v>96543.27</v>
      </c>
      <c r="E2050" s="320" t="s">
        <v>616</v>
      </c>
      <c r="F2050" s="155" t="s">
        <v>614</v>
      </c>
      <c r="G2050" s="151">
        <f>81816.33*1.18</f>
        <v>96543.26939999999</v>
      </c>
      <c r="H2050" s="154">
        <v>42420</v>
      </c>
      <c r="I2050" s="154">
        <v>42570</v>
      </c>
      <c r="J2050" s="155">
        <v>81816.33</v>
      </c>
    </row>
    <row r="2051" spans="1:10" s="9" customFormat="1" ht="16.5" outlineLevel="1" x14ac:dyDescent="0.25">
      <c r="A2051" s="787"/>
      <c r="B2051" s="764"/>
      <c r="C2051" s="254" t="s">
        <v>1007</v>
      </c>
      <c r="D2051" s="53">
        <v>63252.085225556802</v>
      </c>
      <c r="E2051" s="427"/>
      <c r="F2051" s="428"/>
      <c r="G2051" s="53"/>
      <c r="H2051" s="426"/>
      <c r="I2051" s="426"/>
      <c r="J2051" s="428"/>
    </row>
    <row r="2052" spans="1:10" s="7" customFormat="1" ht="16.5" x14ac:dyDescent="0.25">
      <c r="A2052" s="778" t="s">
        <v>628</v>
      </c>
      <c r="B2052" s="778"/>
      <c r="C2052" s="142"/>
      <c r="D2052" s="430">
        <f>SUM(D2049:D2051)</f>
        <v>9558379.715225555</v>
      </c>
      <c r="E2052" s="427"/>
      <c r="F2052" s="428"/>
      <c r="G2052" s="430">
        <f>SUM(G2049:G2050)</f>
        <v>9495127.6294</v>
      </c>
      <c r="H2052" s="426"/>
      <c r="I2052" s="56"/>
      <c r="J2052" s="436">
        <f>SUM(J2049:J2050)</f>
        <v>7797752.5499999998</v>
      </c>
    </row>
    <row r="2053" spans="1:10" s="7" customFormat="1" ht="31.5" customHeight="1" x14ac:dyDescent="0.25">
      <c r="A2053" s="787">
        <v>78</v>
      </c>
      <c r="B2053" s="775" t="s">
        <v>434</v>
      </c>
      <c r="C2053" s="110" t="s">
        <v>500</v>
      </c>
      <c r="D2053" s="73">
        <v>4688848.1500000004</v>
      </c>
      <c r="E2053" s="433" t="s">
        <v>807</v>
      </c>
      <c r="F2053" s="432" t="s">
        <v>804</v>
      </c>
      <c r="G2053" s="73">
        <v>4800000</v>
      </c>
      <c r="H2053" s="434">
        <v>42576</v>
      </c>
      <c r="I2053" s="434">
        <v>42551</v>
      </c>
      <c r="J2053" s="432">
        <v>4688848.1500000004</v>
      </c>
    </row>
    <row r="2054" spans="1:10" s="7" customFormat="1" ht="33" x14ac:dyDescent="0.25">
      <c r="A2054" s="787"/>
      <c r="B2054" s="775"/>
      <c r="C2054" s="150" t="s">
        <v>37</v>
      </c>
      <c r="D2054" s="151">
        <v>98312.18</v>
      </c>
      <c r="E2054" s="320" t="s">
        <v>621</v>
      </c>
      <c r="F2054" s="155" t="s">
        <v>614</v>
      </c>
      <c r="G2054" s="151">
        <f>83315.41*1.18</f>
        <v>98312.183799999999</v>
      </c>
      <c r="H2054" s="154">
        <v>42384</v>
      </c>
      <c r="I2054" s="154">
        <v>42475</v>
      </c>
      <c r="J2054" s="155">
        <v>83315.41</v>
      </c>
    </row>
    <row r="2055" spans="1:10" s="7" customFormat="1" ht="16.5" x14ac:dyDescent="0.25">
      <c r="A2055" s="778" t="s">
        <v>628</v>
      </c>
      <c r="B2055" s="778"/>
      <c r="C2055" s="142"/>
      <c r="D2055" s="430">
        <f>SUM(D2053:D2054)</f>
        <v>4787160.33</v>
      </c>
      <c r="E2055" s="427"/>
      <c r="F2055" s="428"/>
      <c r="G2055" s="430">
        <f>SUM(G2053:G2054)</f>
        <v>4898312.1837999998</v>
      </c>
      <c r="H2055" s="426"/>
      <c r="I2055" s="56"/>
      <c r="J2055" s="436">
        <f t="shared" ref="J2055" si="57">SUM(J2053:J2054)</f>
        <v>4772163.5600000005</v>
      </c>
    </row>
    <row r="2056" spans="1:10" s="7" customFormat="1" ht="31.5" customHeight="1" x14ac:dyDescent="0.25">
      <c r="A2056" s="787">
        <v>79</v>
      </c>
      <c r="B2056" s="764" t="s">
        <v>435</v>
      </c>
      <c r="C2056" s="110" t="s">
        <v>500</v>
      </c>
      <c r="D2056" s="73">
        <v>6768117.7400000002</v>
      </c>
      <c r="E2056" s="433" t="s">
        <v>839</v>
      </c>
      <c r="F2056" s="432" t="s">
        <v>743</v>
      </c>
      <c r="G2056" s="73">
        <v>6799000</v>
      </c>
      <c r="H2056" s="434">
        <v>42597</v>
      </c>
      <c r="I2056" s="434">
        <v>42657</v>
      </c>
      <c r="J2056" s="432">
        <v>6768117.7400000002</v>
      </c>
    </row>
    <row r="2057" spans="1:10" s="7" customFormat="1" ht="33" x14ac:dyDescent="0.25">
      <c r="A2057" s="787"/>
      <c r="B2057" s="764"/>
      <c r="C2057" s="150" t="s">
        <v>37</v>
      </c>
      <c r="D2057" s="151">
        <v>101816.7</v>
      </c>
      <c r="E2057" s="320" t="s">
        <v>616</v>
      </c>
      <c r="F2057" s="155" t="s">
        <v>614</v>
      </c>
      <c r="G2057" s="151">
        <f>86285.34*1.18</f>
        <v>101816.7012</v>
      </c>
      <c r="H2057" s="154">
        <v>42420</v>
      </c>
      <c r="I2057" s="154">
        <v>42502</v>
      </c>
      <c r="J2057" s="155">
        <v>86285.34</v>
      </c>
    </row>
    <row r="2058" spans="1:10" s="7" customFormat="1" ht="16.5" x14ac:dyDescent="0.25">
      <c r="A2058" s="778" t="s">
        <v>628</v>
      </c>
      <c r="B2058" s="778"/>
      <c r="C2058" s="142"/>
      <c r="D2058" s="430">
        <f>SUM(D2056:D2057)</f>
        <v>6869934.4400000004</v>
      </c>
      <c r="E2058" s="427"/>
      <c r="F2058" s="428"/>
      <c r="G2058" s="430">
        <f>SUM(G2056:G2057)</f>
        <v>6900816.7012</v>
      </c>
      <c r="H2058" s="426"/>
      <c r="I2058" s="56"/>
      <c r="J2058" s="436">
        <f>SUM(J2056:J2057)</f>
        <v>6854403.0800000001</v>
      </c>
    </row>
    <row r="2059" spans="1:10" s="7" customFormat="1" ht="48" customHeight="1" x14ac:dyDescent="0.25">
      <c r="A2059" s="787">
        <v>80</v>
      </c>
      <c r="B2059" s="764" t="s">
        <v>436</v>
      </c>
      <c r="C2059" s="110" t="s">
        <v>500</v>
      </c>
      <c r="D2059" s="73">
        <v>7333941</v>
      </c>
      <c r="E2059" s="433" t="s">
        <v>818</v>
      </c>
      <c r="F2059" s="432" t="s">
        <v>819</v>
      </c>
      <c r="G2059" s="73">
        <v>7189999.9800000004</v>
      </c>
      <c r="H2059" s="434">
        <v>42595</v>
      </c>
      <c r="I2059" s="434">
        <v>42660</v>
      </c>
      <c r="J2059" s="432">
        <v>7333941</v>
      </c>
    </row>
    <row r="2060" spans="1:10" s="7" customFormat="1" ht="33" x14ac:dyDescent="0.25">
      <c r="A2060" s="787"/>
      <c r="B2060" s="764"/>
      <c r="C2060" s="150" t="s">
        <v>37</v>
      </c>
      <c r="D2060" s="151">
        <v>101892.06</v>
      </c>
      <c r="E2060" s="320" t="s">
        <v>616</v>
      </c>
      <c r="F2060" s="155" t="s">
        <v>614</v>
      </c>
      <c r="G2060" s="151">
        <f>86349.2*1.18</f>
        <v>101892.056</v>
      </c>
      <c r="H2060" s="154">
        <v>42420</v>
      </c>
      <c r="I2060" s="154">
        <v>42502</v>
      </c>
      <c r="J2060" s="155">
        <v>86349.2</v>
      </c>
    </row>
    <row r="2061" spans="1:10" s="7" customFormat="1" ht="16.5" x14ac:dyDescent="0.25">
      <c r="A2061" s="778" t="s">
        <v>628</v>
      </c>
      <c r="B2061" s="778"/>
      <c r="C2061" s="142"/>
      <c r="D2061" s="430">
        <f>SUM(D2059:D2060)</f>
        <v>7435833.0599999996</v>
      </c>
      <c r="E2061" s="427"/>
      <c r="F2061" s="428"/>
      <c r="G2061" s="430">
        <f>SUM(G2059:G2060)</f>
        <v>7291892.0360000003</v>
      </c>
      <c r="H2061" s="426"/>
      <c r="I2061" s="56"/>
      <c r="J2061" s="436">
        <f>SUM(J2059:J2060)</f>
        <v>7420290.2000000002</v>
      </c>
    </row>
    <row r="2062" spans="1:10" s="7" customFormat="1" ht="33" x14ac:dyDescent="0.25">
      <c r="A2062" s="787">
        <v>81</v>
      </c>
      <c r="B2062" s="764" t="s">
        <v>437</v>
      </c>
      <c r="C2062" s="110" t="s">
        <v>500</v>
      </c>
      <c r="D2062" s="73">
        <v>10804778.560000001</v>
      </c>
      <c r="E2062" s="433" t="s">
        <v>838</v>
      </c>
      <c r="F2062" s="432" t="s">
        <v>743</v>
      </c>
      <c r="G2062" s="73">
        <v>11599000</v>
      </c>
      <c r="H2062" s="434">
        <v>42592</v>
      </c>
      <c r="I2062" s="434">
        <v>42657</v>
      </c>
      <c r="J2062" s="432">
        <v>10804778.560000001</v>
      </c>
    </row>
    <row r="2063" spans="1:10" s="7" customFormat="1" ht="33" x14ac:dyDescent="0.25">
      <c r="A2063" s="787"/>
      <c r="B2063" s="764"/>
      <c r="C2063" s="150" t="s">
        <v>37</v>
      </c>
      <c r="D2063" s="151">
        <v>102116.27</v>
      </c>
      <c r="E2063" s="320" t="s">
        <v>616</v>
      </c>
      <c r="F2063" s="155" t="s">
        <v>614</v>
      </c>
      <c r="G2063" s="151">
        <f>86539.21*1.18</f>
        <v>102116.2678</v>
      </c>
      <c r="H2063" s="154">
        <v>42420</v>
      </c>
      <c r="I2063" s="154">
        <v>42502</v>
      </c>
      <c r="J2063" s="155">
        <v>86539.21</v>
      </c>
    </row>
    <row r="2064" spans="1:10" s="7" customFormat="1" ht="16.5" x14ac:dyDescent="0.25">
      <c r="A2064" s="778" t="s">
        <v>628</v>
      </c>
      <c r="B2064" s="778"/>
      <c r="C2064" s="142"/>
      <c r="D2064" s="430">
        <f>SUM(D2062:D2063)</f>
        <v>10906894.83</v>
      </c>
      <c r="E2064" s="427"/>
      <c r="F2064" s="428"/>
      <c r="G2064" s="430">
        <f>SUM(G2062:G2063)</f>
        <v>11701116.2678</v>
      </c>
      <c r="H2064" s="426"/>
      <c r="I2064" s="56"/>
      <c r="J2064" s="436">
        <f>SUM(J2062:J2063)</f>
        <v>10891317.770000001</v>
      </c>
    </row>
    <row r="2065" spans="1:10" s="7" customFormat="1" ht="33" x14ac:dyDescent="0.25">
      <c r="A2065" s="787">
        <v>82</v>
      </c>
      <c r="B2065" s="775" t="s">
        <v>33</v>
      </c>
      <c r="C2065" s="73" t="s">
        <v>34</v>
      </c>
      <c r="D2065" s="73">
        <v>2763429.32</v>
      </c>
      <c r="E2065" s="433" t="s">
        <v>954</v>
      </c>
      <c r="F2065" s="432" t="s">
        <v>692</v>
      </c>
      <c r="G2065" s="73">
        <v>4441490</v>
      </c>
      <c r="H2065" s="434">
        <v>42622</v>
      </c>
      <c r="I2065" s="434">
        <v>42629</v>
      </c>
      <c r="J2065" s="432">
        <v>2763429.32</v>
      </c>
    </row>
    <row r="2066" spans="1:10" s="7" customFormat="1" ht="33" x14ac:dyDescent="0.25">
      <c r="A2066" s="787"/>
      <c r="B2066" s="775"/>
      <c r="C2066" s="150" t="s">
        <v>37</v>
      </c>
      <c r="D2066" s="151">
        <v>100262.42</v>
      </c>
      <c r="E2066" s="320" t="s">
        <v>621</v>
      </c>
      <c r="F2066" s="155" t="s">
        <v>614</v>
      </c>
      <c r="G2066" s="151">
        <f>84968.15*1.18</f>
        <v>100262.41699999999</v>
      </c>
      <c r="H2066" s="154">
        <v>42384</v>
      </c>
      <c r="I2066" s="154">
        <v>42571</v>
      </c>
      <c r="J2066" s="155">
        <v>84968.15</v>
      </c>
    </row>
    <row r="2067" spans="1:10" s="7" customFormat="1" ht="16.5" x14ac:dyDescent="0.25">
      <c r="A2067" s="778" t="s">
        <v>628</v>
      </c>
      <c r="B2067" s="778"/>
      <c r="C2067" s="142"/>
      <c r="D2067" s="430">
        <f>SUM(D2065:D2066)</f>
        <v>2863691.7399999998</v>
      </c>
      <c r="E2067" s="427"/>
      <c r="F2067" s="428"/>
      <c r="G2067" s="430">
        <f>SUM(G2065:G2066)</f>
        <v>4541752.4170000004</v>
      </c>
      <c r="H2067" s="426"/>
      <c r="I2067" s="56"/>
      <c r="J2067" s="436">
        <f>SUM(J2065:J2066)</f>
        <v>2848397.4699999997</v>
      </c>
    </row>
    <row r="2068" spans="1:10" s="7" customFormat="1" ht="49.5" x14ac:dyDescent="0.25">
      <c r="A2068" s="435">
        <v>83</v>
      </c>
      <c r="B2068" s="430" t="s">
        <v>610</v>
      </c>
      <c r="C2068" s="150" t="s">
        <v>37</v>
      </c>
      <c r="D2068" s="151">
        <v>76530</v>
      </c>
      <c r="E2068" s="320" t="s">
        <v>616</v>
      </c>
      <c r="F2068" s="155" t="s">
        <v>614</v>
      </c>
      <c r="G2068" s="151">
        <f>64851.71*1.18</f>
        <v>76525.017800000001</v>
      </c>
      <c r="H2068" s="154">
        <v>42420</v>
      </c>
      <c r="I2068" s="174"/>
      <c r="J2068" s="155"/>
    </row>
    <row r="2069" spans="1:10" s="7" customFormat="1" ht="15.75" customHeight="1" x14ac:dyDescent="0.25">
      <c r="A2069" s="778" t="s">
        <v>628</v>
      </c>
      <c r="B2069" s="778"/>
      <c r="C2069" s="141"/>
      <c r="D2069" s="430">
        <f>SUM(D2068:D2068)</f>
        <v>76530</v>
      </c>
      <c r="E2069" s="427"/>
      <c r="F2069" s="428"/>
      <c r="G2069" s="430">
        <f>SUM(G2068:G2068)</f>
        <v>76525.017800000001</v>
      </c>
      <c r="H2069" s="426"/>
      <c r="I2069" s="56"/>
      <c r="J2069" s="428"/>
    </row>
    <row r="2070" spans="1:10" s="7" customFormat="1" ht="33" x14ac:dyDescent="0.25">
      <c r="A2070" s="787">
        <v>84</v>
      </c>
      <c r="B2070" s="775" t="s">
        <v>438</v>
      </c>
      <c r="C2070" s="73" t="s">
        <v>38</v>
      </c>
      <c r="D2070" s="73">
        <v>430508.21</v>
      </c>
      <c r="E2070" s="433" t="s">
        <v>954</v>
      </c>
      <c r="F2070" s="432" t="s">
        <v>692</v>
      </c>
      <c r="G2070" s="73">
        <v>230569</v>
      </c>
      <c r="H2070" s="434">
        <v>42633</v>
      </c>
      <c r="I2070" s="434">
        <v>42622</v>
      </c>
      <c r="J2070" s="432">
        <v>430508.21</v>
      </c>
    </row>
    <row r="2071" spans="1:10" s="7" customFormat="1" ht="33" x14ac:dyDescent="0.25">
      <c r="A2071" s="787"/>
      <c r="B2071" s="775"/>
      <c r="C2071" s="110" t="s">
        <v>500</v>
      </c>
      <c r="D2071" s="73">
        <v>4559684.74</v>
      </c>
      <c r="E2071" s="433" t="s">
        <v>681</v>
      </c>
      <c r="F2071" s="432" t="s">
        <v>675</v>
      </c>
      <c r="G2071" s="73">
        <v>4334591.57</v>
      </c>
      <c r="H2071" s="434">
        <v>42505</v>
      </c>
      <c r="I2071" s="434">
        <v>42478</v>
      </c>
      <c r="J2071" s="432">
        <v>4559684.74</v>
      </c>
    </row>
    <row r="2072" spans="1:10" s="7" customFormat="1" ht="33" x14ac:dyDescent="0.25">
      <c r="A2072" s="787"/>
      <c r="B2072" s="775"/>
      <c r="C2072" s="150" t="s">
        <v>37</v>
      </c>
      <c r="D2072" s="151">
        <v>133273.57</v>
      </c>
      <c r="E2072" s="320" t="s">
        <v>621</v>
      </c>
      <c r="F2072" s="155" t="s">
        <v>614</v>
      </c>
      <c r="G2072" s="151">
        <f>112943.71*1.18</f>
        <v>133273.5778</v>
      </c>
      <c r="H2072" s="154">
        <v>42384</v>
      </c>
      <c r="I2072" s="154">
        <v>42403</v>
      </c>
      <c r="J2072" s="155">
        <v>112943.58</v>
      </c>
    </row>
    <row r="2073" spans="1:10" s="7" customFormat="1" ht="16.5" x14ac:dyDescent="0.25">
      <c r="A2073" s="778" t="s">
        <v>628</v>
      </c>
      <c r="B2073" s="778"/>
      <c r="C2073" s="142"/>
      <c r="D2073" s="430">
        <f>SUM(D2070:D2072)</f>
        <v>5123466.5200000005</v>
      </c>
      <c r="E2073" s="427"/>
      <c r="F2073" s="428"/>
      <c r="G2073" s="430">
        <f>SUM(G2070:G2072)</f>
        <v>4698434.1478000004</v>
      </c>
      <c r="H2073" s="426"/>
      <c r="I2073" s="56"/>
      <c r="J2073" s="436">
        <f>SUM(J2070:J2072)</f>
        <v>5103136.53</v>
      </c>
    </row>
    <row r="2074" spans="1:10" s="7" customFormat="1" ht="33" x14ac:dyDescent="0.25">
      <c r="A2074" s="787">
        <v>85</v>
      </c>
      <c r="B2074" s="764" t="s">
        <v>439</v>
      </c>
      <c r="C2074" s="110" t="s">
        <v>500</v>
      </c>
      <c r="D2074" s="73">
        <v>7733122.9199999999</v>
      </c>
      <c r="E2074" s="433" t="s">
        <v>1016</v>
      </c>
      <c r="F2074" s="432" t="s">
        <v>804</v>
      </c>
      <c r="G2074" s="73">
        <v>7733122.9199999999</v>
      </c>
      <c r="H2074" s="434">
        <v>42704</v>
      </c>
      <c r="I2074" s="434">
        <v>42719</v>
      </c>
      <c r="J2074" s="432">
        <v>7696973.6200000001</v>
      </c>
    </row>
    <row r="2075" spans="1:10" s="7" customFormat="1" ht="33" x14ac:dyDescent="0.25">
      <c r="A2075" s="787"/>
      <c r="B2075" s="764"/>
      <c r="C2075" s="150" t="s">
        <v>37</v>
      </c>
      <c r="D2075" s="151">
        <v>103532.39</v>
      </c>
      <c r="E2075" s="320" t="s">
        <v>616</v>
      </c>
      <c r="F2075" s="155" t="s">
        <v>614</v>
      </c>
      <c r="G2075" s="151">
        <f>87739.31*1.18</f>
        <v>103532.38579999999</v>
      </c>
      <c r="H2075" s="154">
        <v>42420</v>
      </c>
      <c r="I2075" s="154">
        <v>42620</v>
      </c>
      <c r="J2075" s="155">
        <v>87739.31</v>
      </c>
    </row>
    <row r="2076" spans="1:10" s="9" customFormat="1" ht="16.5" outlineLevel="1" x14ac:dyDescent="0.25">
      <c r="A2076" s="787"/>
      <c r="B2076" s="764"/>
      <c r="C2076" s="254" t="s">
        <v>1007</v>
      </c>
      <c r="D2076" s="53">
        <v>47317.0315306548</v>
      </c>
      <c r="E2076" s="427"/>
      <c r="F2076" s="428"/>
      <c r="G2076" s="53"/>
      <c r="H2076" s="426"/>
      <c r="I2076" s="426"/>
      <c r="J2076" s="428"/>
    </row>
    <row r="2077" spans="1:10" s="7" customFormat="1" ht="16.5" x14ac:dyDescent="0.25">
      <c r="A2077" s="778" t="s">
        <v>628</v>
      </c>
      <c r="B2077" s="778"/>
      <c r="C2077" s="142"/>
      <c r="D2077" s="430">
        <f>SUM(D2074:D2076)</f>
        <v>7883972.3415306546</v>
      </c>
      <c r="E2077" s="427"/>
      <c r="F2077" s="428"/>
      <c r="G2077" s="430">
        <f>SUM(G2074:G2075)</f>
        <v>7836655.3058000002</v>
      </c>
      <c r="H2077" s="426"/>
      <c r="I2077" s="56"/>
      <c r="J2077" s="436">
        <f>SUM(J2074:J2075)</f>
        <v>7784712.9299999997</v>
      </c>
    </row>
    <row r="2078" spans="1:10" s="7" customFormat="1" ht="33" x14ac:dyDescent="0.25">
      <c r="A2078" s="787">
        <v>86</v>
      </c>
      <c r="B2078" s="764" t="s">
        <v>440</v>
      </c>
      <c r="C2078" s="110" t="s">
        <v>501</v>
      </c>
      <c r="D2078" s="73">
        <v>15680000</v>
      </c>
      <c r="E2078" s="636" t="s">
        <v>1010</v>
      </c>
      <c r="F2078" s="635" t="s">
        <v>773</v>
      </c>
      <c r="G2078" s="73">
        <v>14314000</v>
      </c>
      <c r="H2078" s="637">
        <v>42914</v>
      </c>
      <c r="I2078" s="637">
        <v>42912</v>
      </c>
      <c r="J2078" s="635">
        <v>11226907</v>
      </c>
    </row>
    <row r="2079" spans="1:10" s="7" customFormat="1" ht="33" x14ac:dyDescent="0.25">
      <c r="A2079" s="787"/>
      <c r="B2079" s="764"/>
      <c r="C2079" s="150" t="s">
        <v>37</v>
      </c>
      <c r="D2079" s="151">
        <v>131450</v>
      </c>
      <c r="E2079" s="320" t="s">
        <v>616</v>
      </c>
      <c r="F2079" s="155" t="s">
        <v>614</v>
      </c>
      <c r="G2079" s="151">
        <f>111400.65*1.18</f>
        <v>131452.76699999999</v>
      </c>
      <c r="H2079" s="154">
        <v>42420</v>
      </c>
      <c r="I2079" s="154">
        <v>42627</v>
      </c>
      <c r="J2079" s="155">
        <v>111400.65</v>
      </c>
    </row>
    <row r="2080" spans="1:10" s="7" customFormat="1" ht="16.5" x14ac:dyDescent="0.25">
      <c r="A2080" s="778" t="s">
        <v>628</v>
      </c>
      <c r="B2080" s="778"/>
      <c r="C2080" s="141"/>
      <c r="D2080" s="430">
        <f>SUM(D2078:D2079)</f>
        <v>15811450</v>
      </c>
      <c r="E2080" s="427"/>
      <c r="F2080" s="428"/>
      <c r="G2080" s="430">
        <f>SUM(G2078:G2079)</f>
        <v>14445452.767000001</v>
      </c>
      <c r="H2080" s="426"/>
      <c r="I2080" s="56"/>
      <c r="J2080" s="436">
        <f>SUM(J2078:J2079)</f>
        <v>11338307.65</v>
      </c>
    </row>
    <row r="2081" spans="1:10" s="7" customFormat="1" ht="43.5" customHeight="1" x14ac:dyDescent="0.25">
      <c r="A2081" s="787">
        <v>87</v>
      </c>
      <c r="B2081" s="764" t="s">
        <v>441</v>
      </c>
      <c r="C2081" s="110" t="s">
        <v>500</v>
      </c>
      <c r="D2081" s="73">
        <v>6310937.3600000003</v>
      </c>
      <c r="E2081" s="433" t="s">
        <v>888</v>
      </c>
      <c r="F2081" s="432" t="s">
        <v>743</v>
      </c>
      <c r="G2081" s="73">
        <v>6985288.4800000004</v>
      </c>
      <c r="H2081" s="434">
        <v>42618</v>
      </c>
      <c r="I2081" s="434">
        <v>42618</v>
      </c>
      <c r="J2081" s="432">
        <v>6310937.3600000003</v>
      </c>
    </row>
    <row r="2082" spans="1:10" s="7" customFormat="1" ht="33" x14ac:dyDescent="0.25">
      <c r="A2082" s="787"/>
      <c r="B2082" s="764"/>
      <c r="C2082" s="150" t="s">
        <v>37</v>
      </c>
      <c r="D2082" s="151">
        <v>95981.21</v>
      </c>
      <c r="E2082" s="320" t="s">
        <v>616</v>
      </c>
      <c r="F2082" s="155" t="s">
        <v>614</v>
      </c>
      <c r="G2082" s="151">
        <f>81340.01*1.18</f>
        <v>95981.21179999999</v>
      </c>
      <c r="H2082" s="154">
        <v>42420</v>
      </c>
      <c r="I2082" s="154">
        <v>42541</v>
      </c>
      <c r="J2082" s="155">
        <v>81340.009999999995</v>
      </c>
    </row>
    <row r="2083" spans="1:10" s="7" customFormat="1" ht="16.5" x14ac:dyDescent="0.25">
      <c r="A2083" s="778" t="s">
        <v>628</v>
      </c>
      <c r="B2083" s="778"/>
      <c r="C2083" s="142"/>
      <c r="D2083" s="430">
        <f>SUM(D2081:D2082)</f>
        <v>6406918.5700000003</v>
      </c>
      <c r="E2083" s="427"/>
      <c r="F2083" s="428"/>
      <c r="G2083" s="430">
        <f>SUM(G2081:G2082)</f>
        <v>7081269.6918000001</v>
      </c>
      <c r="H2083" s="426"/>
      <c r="I2083" s="56"/>
      <c r="J2083" s="436">
        <f>SUM(J2081:J2082)</f>
        <v>6392277.3700000001</v>
      </c>
    </row>
    <row r="2084" spans="1:10" s="7" customFormat="1" ht="31.5" customHeight="1" x14ac:dyDescent="0.25">
      <c r="A2084" s="787">
        <v>88</v>
      </c>
      <c r="B2084" s="764" t="s">
        <v>442</v>
      </c>
      <c r="C2084" s="142" t="s">
        <v>501</v>
      </c>
      <c r="D2084" s="141">
        <v>6812000</v>
      </c>
      <c r="E2084" s="427" t="s">
        <v>1061</v>
      </c>
      <c r="F2084" s="428" t="s">
        <v>731</v>
      </c>
      <c r="G2084" s="141">
        <v>5811850.3899999997</v>
      </c>
      <c r="H2084" s="426">
        <v>42906</v>
      </c>
      <c r="I2084" s="56"/>
      <c r="J2084" s="428"/>
    </row>
    <row r="2085" spans="1:10" s="7" customFormat="1" ht="33" x14ac:dyDescent="0.25">
      <c r="A2085" s="787"/>
      <c r="B2085" s="764"/>
      <c r="C2085" s="150" t="s">
        <v>37</v>
      </c>
      <c r="D2085" s="151">
        <v>97578.9</v>
      </c>
      <c r="E2085" s="320" t="s">
        <v>616</v>
      </c>
      <c r="F2085" s="155" t="s">
        <v>614</v>
      </c>
      <c r="G2085" s="151">
        <f>82693.98*1.18</f>
        <v>97578.896399999983</v>
      </c>
      <c r="H2085" s="154">
        <v>42420</v>
      </c>
      <c r="I2085" s="154">
        <v>42627</v>
      </c>
      <c r="J2085" s="155">
        <v>82693.98</v>
      </c>
    </row>
    <row r="2086" spans="1:10" s="7" customFormat="1" ht="16.5" x14ac:dyDescent="0.25">
      <c r="A2086" s="778" t="s">
        <v>628</v>
      </c>
      <c r="B2086" s="778"/>
      <c r="C2086" s="141"/>
      <c r="D2086" s="430">
        <f>SUM(D2084:D2085)</f>
        <v>6909578.9000000004</v>
      </c>
      <c r="E2086" s="427"/>
      <c r="F2086" s="428"/>
      <c r="G2086" s="430">
        <f>SUM(G2084:G2085)</f>
        <v>5909429.2863999996</v>
      </c>
      <c r="H2086" s="426"/>
      <c r="I2086" s="56"/>
      <c r="J2086" s="436">
        <f>SUM(J2084:J2085)</f>
        <v>82693.98</v>
      </c>
    </row>
    <row r="2087" spans="1:10" s="7" customFormat="1" ht="31.5" customHeight="1" x14ac:dyDescent="0.25">
      <c r="A2087" s="787">
        <v>89</v>
      </c>
      <c r="B2087" s="764" t="s">
        <v>443</v>
      </c>
      <c r="C2087" s="110" t="s">
        <v>500</v>
      </c>
      <c r="D2087" s="73">
        <v>2371061.12</v>
      </c>
      <c r="E2087" s="433" t="s">
        <v>907</v>
      </c>
      <c r="F2087" s="432" t="s">
        <v>721</v>
      </c>
      <c r="G2087" s="73">
        <v>4211335.29</v>
      </c>
      <c r="H2087" s="434">
        <v>42628</v>
      </c>
      <c r="I2087" s="434">
        <v>42664</v>
      </c>
      <c r="J2087" s="432">
        <v>2371061.12</v>
      </c>
    </row>
    <row r="2088" spans="1:10" s="7" customFormat="1" ht="33" x14ac:dyDescent="0.25">
      <c r="A2088" s="787"/>
      <c r="B2088" s="764"/>
      <c r="C2088" s="150" t="s">
        <v>37</v>
      </c>
      <c r="D2088" s="151">
        <v>96166.81</v>
      </c>
      <c r="E2088" s="320" t="s">
        <v>617</v>
      </c>
      <c r="F2088" s="155" t="s">
        <v>614</v>
      </c>
      <c r="G2088" s="151">
        <f>81497.3*1.18</f>
        <v>96166.813999999998</v>
      </c>
      <c r="H2088" s="154">
        <v>42451</v>
      </c>
      <c r="I2088" s="154">
        <v>42495</v>
      </c>
      <c r="J2088" s="155">
        <v>96166.81</v>
      </c>
    </row>
    <row r="2089" spans="1:10" s="7" customFormat="1" ht="16.5" x14ac:dyDescent="0.25">
      <c r="A2089" s="778" t="s">
        <v>628</v>
      </c>
      <c r="B2089" s="778"/>
      <c r="C2089" s="142"/>
      <c r="D2089" s="430">
        <f>SUM(D2087:D2088)</f>
        <v>2467227.9300000002</v>
      </c>
      <c r="E2089" s="427"/>
      <c r="F2089" s="428"/>
      <c r="G2089" s="430">
        <f>SUM(G2087:G2088)</f>
        <v>4307502.1040000003</v>
      </c>
      <c r="H2089" s="426"/>
      <c r="I2089" s="56"/>
      <c r="J2089" s="436">
        <f>SUM(J2087:J2088)</f>
        <v>2467227.9300000002</v>
      </c>
    </row>
    <row r="2090" spans="1:10" s="7" customFormat="1" ht="31.5" customHeight="1" x14ac:dyDescent="0.25">
      <c r="A2090" s="787">
        <v>90</v>
      </c>
      <c r="B2090" s="764" t="s">
        <v>444</v>
      </c>
      <c r="C2090" s="110" t="s">
        <v>500</v>
      </c>
      <c r="D2090" s="73">
        <v>2430760.11</v>
      </c>
      <c r="E2090" s="433" t="s">
        <v>907</v>
      </c>
      <c r="F2090" s="432" t="s">
        <v>721</v>
      </c>
      <c r="G2090" s="73">
        <v>4506664.71</v>
      </c>
      <c r="H2090" s="434">
        <v>42628</v>
      </c>
      <c r="I2090" s="434">
        <v>42664</v>
      </c>
      <c r="J2090" s="432">
        <v>2430760.11</v>
      </c>
    </row>
    <row r="2091" spans="1:10" s="7" customFormat="1" ht="33" x14ac:dyDescent="0.25">
      <c r="A2091" s="787"/>
      <c r="B2091" s="764"/>
      <c r="C2091" s="150" t="s">
        <v>37</v>
      </c>
      <c r="D2091" s="151">
        <v>99439.47</v>
      </c>
      <c r="E2091" s="320" t="s">
        <v>617</v>
      </c>
      <c r="F2091" s="155" t="s">
        <v>614</v>
      </c>
      <c r="G2091" s="151">
        <f>84270.74*1.18</f>
        <v>99439.473200000008</v>
      </c>
      <c r="H2091" s="154">
        <v>42451</v>
      </c>
      <c r="I2091" s="154">
        <v>42495</v>
      </c>
      <c r="J2091" s="155">
        <v>99439.47</v>
      </c>
    </row>
    <row r="2092" spans="1:10" s="7" customFormat="1" ht="16.5" x14ac:dyDescent="0.25">
      <c r="A2092" s="778" t="s">
        <v>628</v>
      </c>
      <c r="B2092" s="778"/>
      <c r="C2092" s="142"/>
      <c r="D2092" s="430">
        <f>SUM(D2090:D2091)</f>
        <v>2530199.58</v>
      </c>
      <c r="E2092" s="427"/>
      <c r="F2092" s="428"/>
      <c r="G2092" s="430">
        <f>SUM(G2090:G2091)</f>
        <v>4606104.1831999999</v>
      </c>
      <c r="H2092" s="426"/>
      <c r="I2092" s="56"/>
      <c r="J2092" s="436">
        <f>SUM(J2090:J2091)</f>
        <v>2530199.58</v>
      </c>
    </row>
    <row r="2093" spans="1:10" s="7" customFormat="1" ht="33" x14ac:dyDescent="0.25">
      <c r="A2093" s="787">
        <v>91</v>
      </c>
      <c r="B2093" s="764" t="s">
        <v>445</v>
      </c>
      <c r="C2093" s="110" t="s">
        <v>500</v>
      </c>
      <c r="D2093" s="73">
        <v>2695704.29</v>
      </c>
      <c r="E2093" s="433" t="s">
        <v>1015</v>
      </c>
      <c r="F2093" s="432" t="s">
        <v>721</v>
      </c>
      <c r="G2093" s="73">
        <v>4370000</v>
      </c>
      <c r="H2093" s="434">
        <v>42663</v>
      </c>
      <c r="I2093" s="434">
        <v>42666</v>
      </c>
      <c r="J2093" s="432">
        <v>2695704.29</v>
      </c>
    </row>
    <row r="2094" spans="1:10" s="7" customFormat="1" ht="33" x14ac:dyDescent="0.25">
      <c r="A2094" s="787"/>
      <c r="B2094" s="764"/>
      <c r="C2094" s="150" t="s">
        <v>37</v>
      </c>
      <c r="D2094" s="151">
        <v>92207.08</v>
      </c>
      <c r="E2094" s="320" t="s">
        <v>617</v>
      </c>
      <c r="F2094" s="155" t="s">
        <v>614</v>
      </c>
      <c r="G2094" s="151">
        <f>78141.59*1.18</f>
        <v>92207.076199999996</v>
      </c>
      <c r="H2094" s="154">
        <v>42451</v>
      </c>
      <c r="I2094" s="154">
        <v>42495</v>
      </c>
      <c r="J2094" s="155">
        <v>92207.08</v>
      </c>
    </row>
    <row r="2095" spans="1:10" s="7" customFormat="1" ht="16.5" x14ac:dyDescent="0.25">
      <c r="A2095" s="778" t="s">
        <v>628</v>
      </c>
      <c r="B2095" s="778"/>
      <c r="C2095" s="142"/>
      <c r="D2095" s="430">
        <f>SUM(D2093:D2094)</f>
        <v>2787911.37</v>
      </c>
      <c r="E2095" s="427"/>
      <c r="F2095" s="428"/>
      <c r="G2095" s="430">
        <f>SUM(G2093:G2094)</f>
        <v>4462207.0762</v>
      </c>
      <c r="H2095" s="426"/>
      <c r="I2095" s="56"/>
      <c r="J2095" s="436">
        <f>SUM(J2093:J2094)</f>
        <v>2787911.37</v>
      </c>
    </row>
    <row r="2096" spans="1:10" s="7" customFormat="1" ht="33" x14ac:dyDescent="0.25">
      <c r="A2096" s="787">
        <v>92</v>
      </c>
      <c r="B2096" s="764" t="s">
        <v>446</v>
      </c>
      <c r="C2096" s="110" t="s">
        <v>500</v>
      </c>
      <c r="D2096" s="73">
        <v>3632640.62</v>
      </c>
      <c r="E2096" s="433" t="s">
        <v>836</v>
      </c>
      <c r="F2096" s="432" t="s">
        <v>743</v>
      </c>
      <c r="G2096" s="73">
        <v>3655246.41</v>
      </c>
      <c r="H2096" s="434">
        <v>42602</v>
      </c>
      <c r="I2096" s="434">
        <v>42636</v>
      </c>
      <c r="J2096" s="432">
        <v>3632640.62</v>
      </c>
    </row>
    <row r="2097" spans="1:10" s="7" customFormat="1" ht="33" x14ac:dyDescent="0.25">
      <c r="A2097" s="787"/>
      <c r="B2097" s="764"/>
      <c r="C2097" s="150" t="s">
        <v>37</v>
      </c>
      <c r="D2097" s="151">
        <v>67266.05</v>
      </c>
      <c r="E2097" s="320" t="s">
        <v>617</v>
      </c>
      <c r="F2097" s="155" t="s">
        <v>614</v>
      </c>
      <c r="G2097" s="151">
        <f>57005.13*1.18</f>
        <v>67266.05339999999</v>
      </c>
      <c r="H2097" s="154">
        <v>42451</v>
      </c>
      <c r="I2097" s="154">
        <v>42495</v>
      </c>
      <c r="J2097" s="155">
        <v>67266.05</v>
      </c>
    </row>
    <row r="2098" spans="1:10" s="7" customFormat="1" ht="16.5" x14ac:dyDescent="0.25">
      <c r="A2098" s="778" t="s">
        <v>628</v>
      </c>
      <c r="B2098" s="778"/>
      <c r="C2098" s="142"/>
      <c r="D2098" s="430">
        <f>SUM(D2096:D2097)</f>
        <v>3699906.67</v>
      </c>
      <c r="E2098" s="427"/>
      <c r="F2098" s="428"/>
      <c r="G2098" s="430">
        <f>SUM(G2096:G2097)</f>
        <v>3722512.4634000002</v>
      </c>
      <c r="H2098" s="426"/>
      <c r="I2098" s="56"/>
      <c r="J2098" s="436">
        <f>SUM(J2096:J2097)</f>
        <v>3699906.67</v>
      </c>
    </row>
    <row r="2099" spans="1:10" s="7" customFormat="1" ht="16.5" x14ac:dyDescent="0.25">
      <c r="A2099" s="787">
        <v>93</v>
      </c>
      <c r="B2099" s="775" t="s">
        <v>7</v>
      </c>
      <c r="C2099" s="141" t="s">
        <v>35</v>
      </c>
      <c r="D2099" s="141">
        <v>280687.78000000003</v>
      </c>
      <c r="E2099" s="866" t="s">
        <v>978</v>
      </c>
      <c r="F2099" s="867" t="s">
        <v>660</v>
      </c>
      <c r="G2099" s="141">
        <v>280687.78000000003</v>
      </c>
      <c r="H2099" s="426">
        <v>42658</v>
      </c>
      <c r="I2099" s="56"/>
      <c r="J2099" s="428"/>
    </row>
    <row r="2100" spans="1:10" s="7" customFormat="1" ht="16.5" x14ac:dyDescent="0.25">
      <c r="A2100" s="787"/>
      <c r="B2100" s="775"/>
      <c r="C2100" s="73" t="s">
        <v>36</v>
      </c>
      <c r="D2100" s="73">
        <v>116526.18</v>
      </c>
      <c r="E2100" s="866"/>
      <c r="F2100" s="867"/>
      <c r="G2100" s="432">
        <v>116526.18</v>
      </c>
      <c r="H2100" s="434" t="s">
        <v>979</v>
      </c>
      <c r="I2100" s="434">
        <v>42712</v>
      </c>
      <c r="J2100" s="432">
        <v>14968.3</v>
      </c>
    </row>
    <row r="2101" spans="1:10" s="7" customFormat="1" ht="16.5" x14ac:dyDescent="0.25">
      <c r="A2101" s="787"/>
      <c r="B2101" s="775"/>
      <c r="C2101" s="110" t="s">
        <v>501</v>
      </c>
      <c r="D2101" s="73">
        <v>3930000</v>
      </c>
      <c r="E2101" s="866"/>
      <c r="F2101" s="867"/>
      <c r="G2101" s="73">
        <v>3522595</v>
      </c>
      <c r="H2101" s="434">
        <v>42657</v>
      </c>
      <c r="I2101" s="434">
        <v>42712</v>
      </c>
      <c r="J2101" s="432">
        <v>3453500.01</v>
      </c>
    </row>
    <row r="2102" spans="1:10" s="7" customFormat="1" ht="33" x14ac:dyDescent="0.25">
      <c r="A2102" s="787"/>
      <c r="B2102" s="775"/>
      <c r="C2102" s="150" t="s">
        <v>37</v>
      </c>
      <c r="D2102" s="151">
        <v>154426.6</v>
      </c>
      <c r="E2102" s="320" t="s">
        <v>622</v>
      </c>
      <c r="F2102" s="155" t="s">
        <v>614</v>
      </c>
      <c r="G2102" s="151">
        <v>154426.6</v>
      </c>
      <c r="H2102" s="154">
        <v>42384</v>
      </c>
      <c r="I2102" s="154">
        <v>42570</v>
      </c>
      <c r="J2102" s="155">
        <v>130870.05</v>
      </c>
    </row>
    <row r="2103" spans="1:10" s="9" customFormat="1" ht="16.5" outlineLevel="1" x14ac:dyDescent="0.25">
      <c r="A2103" s="787"/>
      <c r="B2103" s="775"/>
      <c r="C2103" s="254" t="s">
        <v>1007</v>
      </c>
      <c r="D2103" s="53">
        <v>42048.578336564897</v>
      </c>
      <c r="E2103" s="427"/>
      <c r="F2103" s="428"/>
      <c r="G2103" s="53"/>
      <c r="H2103" s="426"/>
      <c r="I2103" s="426"/>
      <c r="J2103" s="428"/>
    </row>
    <row r="2104" spans="1:10" s="7" customFormat="1" ht="16.5" x14ac:dyDescent="0.25">
      <c r="A2104" s="778" t="s">
        <v>628</v>
      </c>
      <c r="B2104" s="778"/>
      <c r="C2104" s="141"/>
      <c r="D2104" s="430">
        <f>SUM(D2099:D2103)</f>
        <v>4523689.1383365644</v>
      </c>
      <c r="E2104" s="427"/>
      <c r="F2104" s="428"/>
      <c r="G2104" s="430">
        <f>SUM(G2099:G2102)</f>
        <v>4074235.56</v>
      </c>
      <c r="H2104" s="426"/>
      <c r="I2104" s="56"/>
      <c r="J2104" s="436">
        <f>SUM(J2099:J2102)</f>
        <v>3599338.3599999994</v>
      </c>
    </row>
    <row r="2105" spans="1:10" s="20" customFormat="1" ht="33" x14ac:dyDescent="0.25">
      <c r="A2105" s="787">
        <v>94</v>
      </c>
      <c r="B2105" s="764" t="s">
        <v>611</v>
      </c>
      <c r="C2105" s="110" t="s">
        <v>500</v>
      </c>
      <c r="D2105" s="73">
        <v>4131171.74</v>
      </c>
      <c r="E2105" s="433" t="s">
        <v>1013</v>
      </c>
      <c r="F2105" s="432" t="s">
        <v>660</v>
      </c>
      <c r="G2105" s="73">
        <v>4131171.74</v>
      </c>
      <c r="H2105" s="434">
        <v>42674</v>
      </c>
      <c r="I2105" s="434">
        <v>42706</v>
      </c>
      <c r="J2105" s="432">
        <v>3890262.94</v>
      </c>
    </row>
    <row r="2106" spans="1:10" s="7" customFormat="1" ht="33" x14ac:dyDescent="0.25">
      <c r="A2106" s="787"/>
      <c r="B2106" s="764"/>
      <c r="C2106" s="150" t="s">
        <v>37</v>
      </c>
      <c r="D2106" s="151">
        <v>95869.49</v>
      </c>
      <c r="E2106" s="320" t="s">
        <v>617</v>
      </c>
      <c r="F2106" s="155" t="s">
        <v>614</v>
      </c>
      <c r="G2106" s="151">
        <f>81245.33*1.18</f>
        <v>95869.489399999991</v>
      </c>
      <c r="H2106" s="154">
        <v>42451</v>
      </c>
      <c r="I2106" s="154">
        <v>42495</v>
      </c>
      <c r="J2106" s="155">
        <v>95869.49</v>
      </c>
    </row>
    <row r="2107" spans="1:10" s="9" customFormat="1" ht="16.5" outlineLevel="1" x14ac:dyDescent="0.25">
      <c r="A2107" s="787"/>
      <c r="B2107" s="764"/>
      <c r="C2107" s="254" t="s">
        <v>1007</v>
      </c>
      <c r="D2107" s="53">
        <v>48826.798326965902</v>
      </c>
      <c r="E2107" s="427"/>
      <c r="F2107" s="428"/>
      <c r="G2107" s="53"/>
      <c r="H2107" s="426"/>
      <c r="I2107" s="426"/>
      <c r="J2107" s="428"/>
    </row>
    <row r="2108" spans="1:10" s="7" customFormat="1" ht="16.5" x14ac:dyDescent="0.25">
      <c r="A2108" s="778" t="s">
        <v>628</v>
      </c>
      <c r="B2108" s="778"/>
      <c r="C2108" s="142"/>
      <c r="D2108" s="430">
        <f>SUM(D2105:D2107)</f>
        <v>4275868.0283269668</v>
      </c>
      <c r="E2108" s="427"/>
      <c r="F2108" s="428"/>
      <c r="G2108" s="430">
        <f>SUM(G2105:G2106)</f>
        <v>4227041.2294000005</v>
      </c>
      <c r="H2108" s="426"/>
      <c r="I2108" s="56"/>
      <c r="J2108" s="436">
        <f>SUM(J2105:J2106)</f>
        <v>3986132.43</v>
      </c>
    </row>
    <row r="2109" spans="1:10" s="5" customFormat="1" ht="33" x14ac:dyDescent="0.25">
      <c r="A2109" s="787">
        <v>95</v>
      </c>
      <c r="B2109" s="764" t="s">
        <v>447</v>
      </c>
      <c r="C2109" s="110" t="s">
        <v>500</v>
      </c>
      <c r="D2109" s="73">
        <v>3417435</v>
      </c>
      <c r="E2109" s="433" t="s">
        <v>722</v>
      </c>
      <c r="F2109" s="432" t="s">
        <v>723</v>
      </c>
      <c r="G2109" s="73">
        <v>3356700.99</v>
      </c>
      <c r="H2109" s="434">
        <v>42504</v>
      </c>
      <c r="I2109" s="434">
        <v>42520</v>
      </c>
      <c r="J2109" s="432">
        <v>3417435</v>
      </c>
    </row>
    <row r="2110" spans="1:10" s="7" customFormat="1" ht="33" x14ac:dyDescent="0.25">
      <c r="A2110" s="787"/>
      <c r="B2110" s="764"/>
      <c r="C2110" s="150" t="s">
        <v>37</v>
      </c>
      <c r="D2110" s="151">
        <v>67097.69</v>
      </c>
      <c r="E2110" s="320" t="s">
        <v>617</v>
      </c>
      <c r="F2110" s="155" t="s">
        <v>614</v>
      </c>
      <c r="G2110" s="151">
        <f>56862.45*1.18</f>
        <v>67097.690999999992</v>
      </c>
      <c r="H2110" s="154">
        <v>42451</v>
      </c>
      <c r="I2110" s="154">
        <v>42495</v>
      </c>
      <c r="J2110" s="155">
        <v>67097.69</v>
      </c>
    </row>
    <row r="2111" spans="1:10" s="7" customFormat="1" ht="16.5" x14ac:dyDescent="0.25">
      <c r="A2111" s="778" t="s">
        <v>628</v>
      </c>
      <c r="B2111" s="778"/>
      <c r="C2111" s="142"/>
      <c r="D2111" s="430">
        <f>SUM(D2109:D2110)</f>
        <v>3484532.69</v>
      </c>
      <c r="E2111" s="427"/>
      <c r="F2111" s="428"/>
      <c r="G2111" s="430">
        <f>SUM(G2109:G2110)</f>
        <v>3423798.6810000003</v>
      </c>
      <c r="H2111" s="426"/>
      <c r="I2111" s="56"/>
      <c r="J2111" s="436">
        <f t="shared" ref="J2111" si="58">SUM(J2109:J2110)</f>
        <v>3484532.69</v>
      </c>
    </row>
    <row r="2112" spans="1:10" s="5" customFormat="1" ht="33" x14ac:dyDescent="0.25">
      <c r="A2112" s="787">
        <v>96</v>
      </c>
      <c r="B2112" s="764" t="s">
        <v>448</v>
      </c>
      <c r="C2112" s="110" t="s">
        <v>500</v>
      </c>
      <c r="D2112" s="73">
        <v>3306484.1</v>
      </c>
      <c r="E2112" s="433" t="s">
        <v>722</v>
      </c>
      <c r="F2112" s="432" t="s">
        <v>723</v>
      </c>
      <c r="G2112" s="73">
        <v>3260219.29</v>
      </c>
      <c r="H2112" s="434">
        <v>42504</v>
      </c>
      <c r="I2112" s="434">
        <v>42520</v>
      </c>
      <c r="J2112" s="432">
        <v>3306484.1</v>
      </c>
    </row>
    <row r="2113" spans="1:10" s="7" customFormat="1" ht="33" x14ac:dyDescent="0.25">
      <c r="A2113" s="787"/>
      <c r="B2113" s="764"/>
      <c r="C2113" s="150" t="s">
        <v>37</v>
      </c>
      <c r="D2113" s="151">
        <v>66534.3</v>
      </c>
      <c r="E2113" s="320" t="s">
        <v>617</v>
      </c>
      <c r="F2113" s="155" t="s">
        <v>614</v>
      </c>
      <c r="G2113" s="151">
        <f>56385*1.18</f>
        <v>66534.3</v>
      </c>
      <c r="H2113" s="154">
        <v>42451</v>
      </c>
      <c r="I2113" s="154">
        <v>42495</v>
      </c>
      <c r="J2113" s="155">
        <v>66534.3</v>
      </c>
    </row>
    <row r="2114" spans="1:10" s="7" customFormat="1" ht="16.5" x14ac:dyDescent="0.25">
      <c r="A2114" s="778" t="s">
        <v>628</v>
      </c>
      <c r="B2114" s="778"/>
      <c r="C2114" s="142"/>
      <c r="D2114" s="430">
        <f>SUM(D2112:D2113)</f>
        <v>3373018.4</v>
      </c>
      <c r="E2114" s="427"/>
      <c r="F2114" s="428"/>
      <c r="G2114" s="430">
        <f>SUM(G2112:G2113)</f>
        <v>3326753.59</v>
      </c>
      <c r="H2114" s="426"/>
      <c r="I2114" s="56"/>
      <c r="J2114" s="436">
        <f t="shared" ref="J2114" si="59">SUM(J2112:J2113)</f>
        <v>3373018.4</v>
      </c>
    </row>
    <row r="2115" spans="1:10" s="5" customFormat="1" ht="33" x14ac:dyDescent="0.25">
      <c r="A2115" s="787">
        <v>97</v>
      </c>
      <c r="B2115" s="775" t="s">
        <v>449</v>
      </c>
      <c r="C2115" s="73" t="s">
        <v>38</v>
      </c>
      <c r="D2115" s="73">
        <v>709556.86</v>
      </c>
      <c r="E2115" s="433" t="s">
        <v>905</v>
      </c>
      <c r="F2115" s="432" t="s">
        <v>697</v>
      </c>
      <c r="G2115" s="73">
        <v>569637.43999999994</v>
      </c>
      <c r="H2115" s="434">
        <v>42633</v>
      </c>
      <c r="I2115" s="434">
        <v>42655</v>
      </c>
      <c r="J2115" s="432">
        <v>709556.86</v>
      </c>
    </row>
    <row r="2116" spans="1:10" s="7" customFormat="1" ht="33" x14ac:dyDescent="0.25">
      <c r="A2116" s="787"/>
      <c r="B2116" s="775"/>
      <c r="C2116" s="150" t="s">
        <v>37</v>
      </c>
      <c r="D2116" s="151">
        <v>70560.62</v>
      </c>
      <c r="E2116" s="320" t="s">
        <v>622</v>
      </c>
      <c r="F2116" s="155" t="s">
        <v>614</v>
      </c>
      <c r="G2116" s="151">
        <v>70560.62</v>
      </c>
      <c r="H2116" s="154">
        <v>42384</v>
      </c>
      <c r="I2116" s="154">
        <v>42571</v>
      </c>
      <c r="J2116" s="155">
        <v>59797.16</v>
      </c>
    </row>
    <row r="2117" spans="1:10" s="7" customFormat="1" ht="16.5" x14ac:dyDescent="0.25">
      <c r="A2117" s="778" t="s">
        <v>628</v>
      </c>
      <c r="B2117" s="778"/>
      <c r="C2117" s="141"/>
      <c r="D2117" s="430">
        <f>SUM(D2115:D2116)</f>
        <v>780117.48</v>
      </c>
      <c r="E2117" s="427"/>
      <c r="F2117" s="428"/>
      <c r="G2117" s="430">
        <f>SUM(G2115:G2116)</f>
        <v>640198.05999999994</v>
      </c>
      <c r="H2117" s="426"/>
      <c r="I2117" s="56"/>
      <c r="J2117" s="436">
        <f>SUM(J2115:J2116)</f>
        <v>769354.02</v>
      </c>
    </row>
    <row r="2118" spans="1:10" s="5" customFormat="1" ht="33" x14ac:dyDescent="0.25">
      <c r="A2118" s="787">
        <v>98</v>
      </c>
      <c r="B2118" s="775" t="s">
        <v>8</v>
      </c>
      <c r="C2118" s="73" t="s">
        <v>38</v>
      </c>
      <c r="D2118" s="73">
        <v>1375101.06</v>
      </c>
      <c r="E2118" s="433" t="s">
        <v>905</v>
      </c>
      <c r="F2118" s="432" t="s">
        <v>697</v>
      </c>
      <c r="G2118" s="73">
        <v>1174847.8999999999</v>
      </c>
      <c r="H2118" s="434">
        <v>42625</v>
      </c>
      <c r="I2118" s="434">
        <v>42667</v>
      </c>
      <c r="J2118" s="432">
        <v>1375101.06</v>
      </c>
    </row>
    <row r="2119" spans="1:10" s="7" customFormat="1" ht="33" x14ac:dyDescent="0.25">
      <c r="A2119" s="787"/>
      <c r="B2119" s="775"/>
      <c r="C2119" s="73" t="s">
        <v>34</v>
      </c>
      <c r="D2119" s="73">
        <v>7191624.2199999997</v>
      </c>
      <c r="E2119" s="433" t="s">
        <v>905</v>
      </c>
      <c r="F2119" s="432" t="s">
        <v>697</v>
      </c>
      <c r="G2119" s="432">
        <v>8352596.7800000003</v>
      </c>
      <c r="H2119" s="434">
        <v>42625</v>
      </c>
      <c r="I2119" s="434">
        <v>42667</v>
      </c>
      <c r="J2119" s="432">
        <v>7191624.2199999997</v>
      </c>
    </row>
    <row r="2120" spans="1:10" s="7" customFormat="1" ht="33" x14ac:dyDescent="0.25">
      <c r="A2120" s="787"/>
      <c r="B2120" s="775"/>
      <c r="C2120" s="150" t="s">
        <v>37</v>
      </c>
      <c r="D2120" s="151">
        <v>203440.61</v>
      </c>
      <c r="E2120" s="320" t="s">
        <v>622</v>
      </c>
      <c r="F2120" s="155" t="s">
        <v>614</v>
      </c>
      <c r="G2120" s="151">
        <v>203440.61</v>
      </c>
      <c r="H2120" s="154">
        <v>42384</v>
      </c>
      <c r="I2120" s="154">
        <v>42571</v>
      </c>
      <c r="J2120" s="155">
        <v>172407.36</v>
      </c>
    </row>
    <row r="2121" spans="1:10" s="7" customFormat="1" ht="16.5" x14ac:dyDescent="0.25">
      <c r="A2121" s="778" t="s">
        <v>628</v>
      </c>
      <c r="B2121" s="778"/>
      <c r="C2121" s="141"/>
      <c r="D2121" s="430">
        <f>SUM(D2118:D2120)</f>
        <v>8770165.8899999987</v>
      </c>
      <c r="E2121" s="427"/>
      <c r="F2121" s="428"/>
      <c r="G2121" s="430">
        <f>SUM(G2118:G2120)</f>
        <v>9730885.2899999991</v>
      </c>
      <c r="H2121" s="426"/>
      <c r="I2121" s="56"/>
      <c r="J2121" s="436">
        <f>SUM(J2118:J2120)</f>
        <v>8739132.6399999987</v>
      </c>
    </row>
    <row r="2122" spans="1:10" s="5" customFormat="1" ht="33" x14ac:dyDescent="0.25">
      <c r="A2122" s="787">
        <v>99</v>
      </c>
      <c r="B2122" s="775" t="s">
        <v>450</v>
      </c>
      <c r="C2122" s="73" t="s">
        <v>38</v>
      </c>
      <c r="D2122" s="73">
        <v>1324530.25</v>
      </c>
      <c r="E2122" s="433" t="s">
        <v>905</v>
      </c>
      <c r="F2122" s="432" t="s">
        <v>697</v>
      </c>
      <c r="G2122" s="73">
        <v>1136335.1499999999</v>
      </c>
      <c r="H2122" s="434">
        <v>42625</v>
      </c>
      <c r="I2122" s="434">
        <v>42641</v>
      </c>
      <c r="J2122" s="432">
        <v>1324530.25</v>
      </c>
    </row>
    <row r="2123" spans="1:10" s="7" customFormat="1" ht="33" x14ac:dyDescent="0.25">
      <c r="A2123" s="787"/>
      <c r="B2123" s="775"/>
      <c r="C2123" s="73" t="s">
        <v>34</v>
      </c>
      <c r="D2123" s="73">
        <v>5464529.0899999999</v>
      </c>
      <c r="E2123" s="433" t="s">
        <v>905</v>
      </c>
      <c r="F2123" s="432" t="s">
        <v>697</v>
      </c>
      <c r="G2123" s="432">
        <v>5766582.7300000004</v>
      </c>
      <c r="H2123" s="434">
        <v>42625</v>
      </c>
      <c r="I2123" s="434">
        <v>42641</v>
      </c>
      <c r="J2123" s="432">
        <v>5464529.0899999999</v>
      </c>
    </row>
    <row r="2124" spans="1:10" s="7" customFormat="1" ht="33" x14ac:dyDescent="0.25">
      <c r="A2124" s="787"/>
      <c r="B2124" s="775"/>
      <c r="C2124" s="150" t="s">
        <v>37</v>
      </c>
      <c r="D2124" s="151"/>
      <c r="E2124" s="320" t="s">
        <v>622</v>
      </c>
      <c r="F2124" s="155" t="s">
        <v>614</v>
      </c>
      <c r="G2124" s="151">
        <f>D2124*0.99999965591</f>
        <v>0</v>
      </c>
      <c r="H2124" s="154">
        <v>42384</v>
      </c>
      <c r="I2124" s="154">
        <v>42571</v>
      </c>
      <c r="J2124" s="155">
        <v>166925.04999999999</v>
      </c>
    </row>
    <row r="2125" spans="1:10" s="7" customFormat="1" ht="33" x14ac:dyDescent="0.25">
      <c r="A2125" s="787"/>
      <c r="B2125" s="775"/>
      <c r="C2125" s="141" t="s">
        <v>501</v>
      </c>
      <c r="D2125" s="141">
        <v>4590000</v>
      </c>
      <c r="E2125" s="121" t="s">
        <v>1060</v>
      </c>
      <c r="F2125" s="121" t="s">
        <v>731</v>
      </c>
      <c r="G2125" s="141">
        <v>4590000</v>
      </c>
      <c r="H2125" s="242">
        <v>42916</v>
      </c>
      <c r="I2125" s="120"/>
      <c r="J2125" s="121"/>
    </row>
    <row r="2126" spans="1:10" s="7" customFormat="1" ht="33" x14ac:dyDescent="0.25">
      <c r="A2126" s="787"/>
      <c r="B2126" s="775"/>
      <c r="C2126" s="150" t="s">
        <v>37</v>
      </c>
      <c r="D2126" s="151">
        <v>104602.92</v>
      </c>
      <c r="E2126" s="320" t="s">
        <v>617</v>
      </c>
      <c r="F2126" s="155" t="s">
        <v>614</v>
      </c>
      <c r="G2126" s="151">
        <f>88646.54*1.18</f>
        <v>104602.91719999998</v>
      </c>
      <c r="H2126" s="154">
        <v>42451</v>
      </c>
      <c r="I2126" s="154">
        <v>42495</v>
      </c>
      <c r="J2126" s="155">
        <v>104602.92</v>
      </c>
    </row>
    <row r="2127" spans="1:10" s="9" customFormat="1" ht="16.5" outlineLevel="1" x14ac:dyDescent="0.25">
      <c r="A2127" s="787"/>
      <c r="B2127" s="775"/>
      <c r="C2127" s="254" t="s">
        <v>1007</v>
      </c>
      <c r="D2127" s="53">
        <v>132104.283314823</v>
      </c>
      <c r="E2127" s="427"/>
      <c r="F2127" s="428"/>
      <c r="G2127" s="53"/>
      <c r="H2127" s="426"/>
      <c r="I2127" s="426"/>
      <c r="J2127" s="428"/>
    </row>
    <row r="2128" spans="1:10" s="7" customFormat="1" ht="16.5" x14ac:dyDescent="0.25">
      <c r="A2128" s="778" t="s">
        <v>628</v>
      </c>
      <c r="B2128" s="778"/>
      <c r="C2128" s="141"/>
      <c r="D2128" s="430">
        <f>SUM(D2122:D2127)</f>
        <v>11615766.543314822</v>
      </c>
      <c r="E2128" s="427"/>
      <c r="F2128" s="428"/>
      <c r="G2128" s="430">
        <f>SUM(G2122:G2126)</f>
        <v>11597520.7972</v>
      </c>
      <c r="H2128" s="426"/>
      <c r="I2128" s="56"/>
      <c r="J2128" s="436">
        <f>SUM(J2122:J2126)</f>
        <v>7060587.3099999996</v>
      </c>
    </row>
    <row r="2129" spans="1:10" s="5" customFormat="1" ht="33" x14ac:dyDescent="0.25">
      <c r="A2129" s="787">
        <v>100</v>
      </c>
      <c r="B2129" s="775" t="s">
        <v>451</v>
      </c>
      <c r="C2129" s="110" t="s">
        <v>500</v>
      </c>
      <c r="D2129" s="73">
        <v>8617355.5999999996</v>
      </c>
      <c r="E2129" s="433" t="s">
        <v>681</v>
      </c>
      <c r="F2129" s="432" t="s">
        <v>675</v>
      </c>
      <c r="G2129" s="73">
        <v>8965408.4700000007</v>
      </c>
      <c r="H2129" s="434">
        <v>42505</v>
      </c>
      <c r="I2129" s="434">
        <v>42500</v>
      </c>
      <c r="J2129" s="432">
        <v>8617355.5999999996</v>
      </c>
    </row>
    <row r="2130" spans="1:10" s="7" customFormat="1" ht="33" x14ac:dyDescent="0.25">
      <c r="A2130" s="787"/>
      <c r="B2130" s="775"/>
      <c r="C2130" s="150" t="s">
        <v>37</v>
      </c>
      <c r="D2130" s="151">
        <v>101014.44</v>
      </c>
      <c r="E2130" s="320" t="s">
        <v>622</v>
      </c>
      <c r="F2130" s="155" t="s">
        <v>614</v>
      </c>
      <c r="G2130" s="151">
        <v>101014.44</v>
      </c>
      <c r="H2130" s="154">
        <v>42384</v>
      </c>
      <c r="I2130" s="154">
        <v>42403</v>
      </c>
      <c r="J2130" s="155">
        <v>85605.49</v>
      </c>
    </row>
    <row r="2131" spans="1:10" s="7" customFormat="1" ht="16.5" x14ac:dyDescent="0.25">
      <c r="A2131" s="778" t="s">
        <v>628</v>
      </c>
      <c r="B2131" s="778"/>
      <c r="C2131" s="142"/>
      <c r="D2131" s="430">
        <f>SUM(D2129:D2130)</f>
        <v>8718370.0399999991</v>
      </c>
      <c r="E2131" s="427"/>
      <c r="F2131" s="428"/>
      <c r="G2131" s="430">
        <f>SUM(G2129:G2130)</f>
        <v>9066422.9100000001</v>
      </c>
      <c r="H2131" s="426"/>
      <c r="I2131" s="56"/>
      <c r="J2131" s="436">
        <f t="shared" ref="J2131" si="60">SUM(J2129:J2130)</f>
        <v>8702961.0899999999</v>
      </c>
    </row>
    <row r="2132" spans="1:10" s="5" customFormat="1" ht="33" x14ac:dyDescent="0.25">
      <c r="A2132" s="787">
        <v>101</v>
      </c>
      <c r="B2132" s="764" t="s">
        <v>452</v>
      </c>
      <c r="C2132" s="110" t="s">
        <v>500</v>
      </c>
      <c r="D2132" s="73">
        <v>5194193.72</v>
      </c>
      <c r="E2132" s="433" t="s">
        <v>762</v>
      </c>
      <c r="F2132" s="432" t="s">
        <v>763</v>
      </c>
      <c r="G2132" s="73">
        <v>5480800</v>
      </c>
      <c r="H2132" s="434">
        <v>42551</v>
      </c>
      <c r="I2132" s="434">
        <v>42551</v>
      </c>
      <c r="J2132" s="432">
        <v>5194193.7200000007</v>
      </c>
    </row>
    <row r="2133" spans="1:10" s="7" customFormat="1" ht="33" x14ac:dyDescent="0.25">
      <c r="A2133" s="787"/>
      <c r="B2133" s="764"/>
      <c r="C2133" s="150" t="s">
        <v>37</v>
      </c>
      <c r="D2133" s="151">
        <v>102006.54</v>
      </c>
      <c r="E2133" s="320" t="s">
        <v>617</v>
      </c>
      <c r="F2133" s="155" t="s">
        <v>614</v>
      </c>
      <c r="G2133" s="151">
        <v>102006.54</v>
      </c>
      <c r="H2133" s="154">
        <v>42451</v>
      </c>
      <c r="I2133" s="154">
        <v>42495</v>
      </c>
      <c r="J2133" s="155">
        <v>102006.54</v>
      </c>
    </row>
    <row r="2134" spans="1:10" s="7" customFormat="1" ht="16.5" x14ac:dyDescent="0.25">
      <c r="A2134" s="778" t="s">
        <v>628</v>
      </c>
      <c r="B2134" s="778"/>
      <c r="C2134" s="142"/>
      <c r="D2134" s="430">
        <f>SUM(D2132:D2133)</f>
        <v>5296200.26</v>
      </c>
      <c r="E2134" s="427"/>
      <c r="F2134" s="428"/>
      <c r="G2134" s="430">
        <f>SUM(G2132:G2133)</f>
        <v>5582806.54</v>
      </c>
      <c r="H2134" s="426"/>
      <c r="I2134" s="56"/>
      <c r="J2134" s="436">
        <f t="shared" ref="J2134" si="61">SUM(J2132:J2133)</f>
        <v>5296200.2600000007</v>
      </c>
    </row>
    <row r="2135" spans="1:10" s="5" customFormat="1" ht="37.5" customHeight="1" x14ac:dyDescent="0.25">
      <c r="A2135" s="787">
        <v>102</v>
      </c>
      <c r="B2135" s="764" t="s">
        <v>453</v>
      </c>
      <c r="C2135" s="110" t="s">
        <v>500</v>
      </c>
      <c r="D2135" s="73">
        <v>7391904.6799999997</v>
      </c>
      <c r="E2135" s="433" t="s">
        <v>803</v>
      </c>
      <c r="F2135" s="432" t="s">
        <v>804</v>
      </c>
      <c r="G2135" s="73">
        <v>7370363.5881696008</v>
      </c>
      <c r="H2135" s="434">
        <v>42576</v>
      </c>
      <c r="I2135" s="434">
        <v>42580</v>
      </c>
      <c r="J2135" s="432">
        <v>7391904.6799999997</v>
      </c>
    </row>
    <row r="2136" spans="1:10" s="7" customFormat="1" ht="33" x14ac:dyDescent="0.25">
      <c r="A2136" s="787"/>
      <c r="B2136" s="764"/>
      <c r="C2136" s="150" t="s">
        <v>37</v>
      </c>
      <c r="D2136" s="151">
        <v>103124</v>
      </c>
      <c r="E2136" s="320" t="s">
        <v>617</v>
      </c>
      <c r="F2136" s="155" t="s">
        <v>614</v>
      </c>
      <c r="G2136" s="151">
        <f>87393.22*1.18</f>
        <v>103123.9996</v>
      </c>
      <c r="H2136" s="154">
        <v>42451</v>
      </c>
      <c r="I2136" s="154">
        <v>42495</v>
      </c>
      <c r="J2136" s="155">
        <v>103124</v>
      </c>
    </row>
    <row r="2137" spans="1:10" s="7" customFormat="1" ht="16.5" x14ac:dyDescent="0.25">
      <c r="A2137" s="778" t="s">
        <v>628</v>
      </c>
      <c r="B2137" s="778"/>
      <c r="C2137" s="142"/>
      <c r="D2137" s="430">
        <f>SUM(D2135:D2136)</f>
        <v>7495028.6799999997</v>
      </c>
      <c r="E2137" s="427"/>
      <c r="F2137" s="428"/>
      <c r="G2137" s="430">
        <f>SUM(G2135:G2136)</f>
        <v>7473487.5877696006</v>
      </c>
      <c r="H2137" s="426"/>
      <c r="I2137" s="56"/>
      <c r="J2137" s="436">
        <f>SUM(J2135:J2136)</f>
        <v>7495028.6799999997</v>
      </c>
    </row>
    <row r="2138" spans="1:10" s="5" customFormat="1" ht="31.5" customHeight="1" x14ac:dyDescent="0.25">
      <c r="A2138" s="787">
        <v>103</v>
      </c>
      <c r="B2138" s="764" t="s">
        <v>454</v>
      </c>
      <c r="C2138" s="110" t="s">
        <v>500</v>
      </c>
      <c r="D2138" s="73">
        <v>9607797.3499999996</v>
      </c>
      <c r="E2138" s="433" t="s">
        <v>803</v>
      </c>
      <c r="F2138" s="432" t="s">
        <v>804</v>
      </c>
      <c r="G2138" s="73">
        <v>10199636.411830395</v>
      </c>
      <c r="H2138" s="434">
        <v>42576</v>
      </c>
      <c r="I2138" s="434">
        <v>42576</v>
      </c>
      <c r="J2138" s="432">
        <v>9607797.3499999996</v>
      </c>
    </row>
    <row r="2139" spans="1:10" s="7" customFormat="1" ht="33" x14ac:dyDescent="0.25">
      <c r="A2139" s="787"/>
      <c r="B2139" s="764"/>
      <c r="C2139" s="150" t="s">
        <v>37</v>
      </c>
      <c r="D2139" s="151">
        <v>98348.74</v>
      </c>
      <c r="E2139" s="320" t="s">
        <v>617</v>
      </c>
      <c r="F2139" s="155" t="s">
        <v>614</v>
      </c>
      <c r="G2139" s="151">
        <f>83346.39*1.18</f>
        <v>98348.7402</v>
      </c>
      <c r="H2139" s="154">
        <v>42451</v>
      </c>
      <c r="I2139" s="154">
        <v>42495</v>
      </c>
      <c r="J2139" s="155">
        <v>98348.74</v>
      </c>
    </row>
    <row r="2140" spans="1:10" s="7" customFormat="1" ht="16.5" x14ac:dyDescent="0.25">
      <c r="A2140" s="778" t="s">
        <v>628</v>
      </c>
      <c r="B2140" s="778"/>
      <c r="C2140" s="142"/>
      <c r="D2140" s="430">
        <f>SUM(D2138:D2139)</f>
        <v>9706146.0899999999</v>
      </c>
      <c r="E2140" s="427"/>
      <c r="F2140" s="428"/>
      <c r="G2140" s="430">
        <f>SUM(G2138:G2139)</f>
        <v>10297985.152030395</v>
      </c>
      <c r="H2140" s="426"/>
      <c r="I2140" s="56"/>
      <c r="J2140" s="436">
        <f>SUM(J2138:J2139)</f>
        <v>9706146.0899999999</v>
      </c>
    </row>
    <row r="2141" spans="1:10" s="5" customFormat="1" ht="34.5" customHeight="1" x14ac:dyDescent="0.25">
      <c r="A2141" s="787">
        <v>104</v>
      </c>
      <c r="B2141" s="775" t="s">
        <v>455</v>
      </c>
      <c r="C2141" s="110" t="s">
        <v>500</v>
      </c>
      <c r="D2141" s="73">
        <v>7117835.5199999996</v>
      </c>
      <c r="E2141" s="433" t="s">
        <v>674</v>
      </c>
      <c r="F2141" s="432" t="s">
        <v>675</v>
      </c>
      <c r="G2141" s="73">
        <v>7850000</v>
      </c>
      <c r="H2141" s="434">
        <v>42479</v>
      </c>
      <c r="I2141" s="434">
        <v>42479</v>
      </c>
      <c r="J2141" s="432">
        <v>7117835.5199999996</v>
      </c>
    </row>
    <row r="2142" spans="1:10" s="7" customFormat="1" ht="33" x14ac:dyDescent="0.25">
      <c r="A2142" s="787"/>
      <c r="B2142" s="775"/>
      <c r="C2142" s="150" t="s">
        <v>37</v>
      </c>
      <c r="D2142" s="151">
        <v>93802.32</v>
      </c>
      <c r="E2142" s="320" t="s">
        <v>622</v>
      </c>
      <c r="F2142" s="155" t="s">
        <v>614</v>
      </c>
      <c r="G2142" s="151">
        <v>93802.32</v>
      </c>
      <c r="H2142" s="154">
        <v>42384</v>
      </c>
      <c r="I2142" s="154">
        <v>42394</v>
      </c>
      <c r="J2142" s="155">
        <v>79493.52</v>
      </c>
    </row>
    <row r="2143" spans="1:10" s="7" customFormat="1" ht="16.5" x14ac:dyDescent="0.25">
      <c r="A2143" s="778" t="s">
        <v>628</v>
      </c>
      <c r="B2143" s="778"/>
      <c r="C2143" s="142"/>
      <c r="D2143" s="430">
        <f>SUM(D2141:D2142)</f>
        <v>7211637.8399999999</v>
      </c>
      <c r="E2143" s="427"/>
      <c r="F2143" s="428"/>
      <c r="G2143" s="430">
        <f>SUM(G2141:G2142)</f>
        <v>7943802.3200000003</v>
      </c>
      <c r="H2143" s="426"/>
      <c r="I2143" s="56"/>
      <c r="J2143" s="436">
        <f>SUM(J2141:J2142)</f>
        <v>7197329.0399999991</v>
      </c>
    </row>
    <row r="2144" spans="1:10" s="5" customFormat="1" ht="24" customHeight="1" x14ac:dyDescent="0.25">
      <c r="A2144" s="787">
        <v>105</v>
      </c>
      <c r="B2144" s="764" t="s">
        <v>456</v>
      </c>
      <c r="C2144" s="110" t="s">
        <v>500</v>
      </c>
      <c r="D2144" s="73">
        <v>1553886.98</v>
      </c>
      <c r="E2144" s="433" t="s">
        <v>929</v>
      </c>
      <c r="F2144" s="432" t="s">
        <v>721</v>
      </c>
      <c r="G2144" s="73">
        <v>1898714.4</v>
      </c>
      <c r="H2144" s="434">
        <v>42617</v>
      </c>
      <c r="I2144" s="434">
        <v>42618</v>
      </c>
      <c r="J2144" s="432">
        <v>1553886.98</v>
      </c>
    </row>
    <row r="2145" spans="1:10" s="7" customFormat="1" ht="33" x14ac:dyDescent="0.25">
      <c r="A2145" s="787"/>
      <c r="B2145" s="764"/>
      <c r="C2145" s="150" t="s">
        <v>37</v>
      </c>
      <c r="D2145" s="151">
        <v>113738.65</v>
      </c>
      <c r="E2145" s="320" t="s">
        <v>617</v>
      </c>
      <c r="F2145" s="155" t="s">
        <v>614</v>
      </c>
      <c r="G2145" s="151">
        <f>96338.69*1.18</f>
        <v>113679.65419999999</v>
      </c>
      <c r="H2145" s="154">
        <v>42451</v>
      </c>
      <c r="I2145" s="154">
        <v>42495</v>
      </c>
      <c r="J2145" s="155">
        <v>113738.65</v>
      </c>
    </row>
    <row r="2146" spans="1:10" s="7" customFormat="1" ht="16.5" x14ac:dyDescent="0.25">
      <c r="A2146" s="778" t="s">
        <v>628</v>
      </c>
      <c r="B2146" s="778"/>
      <c r="C2146" s="142"/>
      <c r="D2146" s="430">
        <f>SUM(D2144:D2145)</f>
        <v>1667625.63</v>
      </c>
      <c r="E2146" s="427"/>
      <c r="F2146" s="428"/>
      <c r="G2146" s="430">
        <f>SUM(G2144:G2145)</f>
        <v>2012394.0541999999</v>
      </c>
      <c r="H2146" s="426"/>
      <c r="I2146" s="56"/>
      <c r="J2146" s="436">
        <f>SUM(J2144:J2145)</f>
        <v>1667625.63</v>
      </c>
    </row>
    <row r="2147" spans="1:10" s="5" customFormat="1" ht="31.5" customHeight="1" x14ac:dyDescent="0.25">
      <c r="A2147" s="787">
        <v>106</v>
      </c>
      <c r="B2147" s="764" t="s">
        <v>457</v>
      </c>
      <c r="C2147" s="110" t="s">
        <v>500</v>
      </c>
      <c r="D2147" s="73">
        <v>9923016.4600000009</v>
      </c>
      <c r="E2147" s="433" t="s">
        <v>805</v>
      </c>
      <c r="F2147" s="432" t="s">
        <v>804</v>
      </c>
      <c r="G2147" s="73">
        <v>12500000</v>
      </c>
      <c r="H2147" s="434">
        <v>42582</v>
      </c>
      <c r="I2147" s="434">
        <v>42580</v>
      </c>
      <c r="J2147" s="432">
        <v>9923016.459999999</v>
      </c>
    </row>
    <row r="2148" spans="1:10" s="25" customFormat="1" ht="31.5" customHeight="1" x14ac:dyDescent="0.25">
      <c r="A2148" s="787"/>
      <c r="B2148" s="764"/>
      <c r="C2148" s="110" t="s">
        <v>975</v>
      </c>
      <c r="D2148" s="73">
        <v>9477794.2200000007</v>
      </c>
      <c r="E2148" s="433" t="s">
        <v>974</v>
      </c>
      <c r="F2148" s="432" t="s">
        <v>743</v>
      </c>
      <c r="G2148" s="73">
        <v>9477794.2200000007</v>
      </c>
      <c r="H2148" s="434">
        <v>42674</v>
      </c>
      <c r="I2148" s="434">
        <v>42713</v>
      </c>
      <c r="J2148" s="432">
        <v>9783854.3599999994</v>
      </c>
    </row>
    <row r="2149" spans="1:10" s="7" customFormat="1" ht="33" x14ac:dyDescent="0.25">
      <c r="A2149" s="787"/>
      <c r="B2149" s="764"/>
      <c r="C2149" s="150" t="s">
        <v>37</v>
      </c>
      <c r="D2149" s="151">
        <v>135438.59</v>
      </c>
      <c r="E2149" s="320" t="s">
        <v>617</v>
      </c>
      <c r="F2149" s="155" t="s">
        <v>614</v>
      </c>
      <c r="G2149" s="151">
        <f>114778.47*1.18</f>
        <v>135438.59459999998</v>
      </c>
      <c r="H2149" s="154">
        <v>42451</v>
      </c>
      <c r="I2149" s="154">
        <v>42495</v>
      </c>
      <c r="J2149" s="155">
        <v>135438.6</v>
      </c>
    </row>
    <row r="2150" spans="1:10" s="7" customFormat="1" ht="16.5" x14ac:dyDescent="0.25">
      <c r="A2150" s="778" t="s">
        <v>628</v>
      </c>
      <c r="B2150" s="778"/>
      <c r="C2150" s="142"/>
      <c r="D2150" s="430">
        <f>SUM(D2147:D2149)</f>
        <v>19536249.27</v>
      </c>
      <c r="E2150" s="427"/>
      <c r="F2150" s="428"/>
      <c r="G2150" s="430">
        <f>SUM(G2147:G2149)</f>
        <v>22113232.814599998</v>
      </c>
      <c r="H2150" s="426"/>
      <c r="I2150" s="56"/>
      <c r="J2150" s="436">
        <f>SUM(J2147:J2149)</f>
        <v>19842309.420000002</v>
      </c>
    </row>
    <row r="2151" spans="1:10" s="5" customFormat="1" ht="33" x14ac:dyDescent="0.25">
      <c r="A2151" s="787">
        <v>107</v>
      </c>
      <c r="B2151" s="764" t="s">
        <v>458</v>
      </c>
      <c r="C2151" s="110" t="s">
        <v>500</v>
      </c>
      <c r="D2151" s="73">
        <v>2839522.5</v>
      </c>
      <c r="E2151" s="433" t="s">
        <v>836</v>
      </c>
      <c r="F2151" s="432" t="s">
        <v>743</v>
      </c>
      <c r="G2151" s="73">
        <v>2843753.59</v>
      </c>
      <c r="H2151" s="434">
        <v>42602</v>
      </c>
      <c r="I2151" s="434">
        <v>42636</v>
      </c>
      <c r="J2151" s="432">
        <v>2839522.5</v>
      </c>
    </row>
    <row r="2152" spans="1:10" s="7" customFormat="1" ht="33" x14ac:dyDescent="0.25">
      <c r="A2152" s="787"/>
      <c r="B2152" s="764"/>
      <c r="C2152" s="150" t="s">
        <v>37</v>
      </c>
      <c r="D2152" s="151">
        <v>71669.11</v>
      </c>
      <c r="E2152" s="320" t="s">
        <v>617</v>
      </c>
      <c r="F2152" s="155" t="s">
        <v>614</v>
      </c>
      <c r="G2152" s="151">
        <f>60736.53*1.18</f>
        <v>71669.1054</v>
      </c>
      <c r="H2152" s="154">
        <v>42451</v>
      </c>
      <c r="I2152" s="154">
        <v>42495</v>
      </c>
      <c r="J2152" s="155">
        <v>71669.11</v>
      </c>
    </row>
    <row r="2153" spans="1:10" s="7" customFormat="1" ht="16.5" x14ac:dyDescent="0.25">
      <c r="A2153" s="778" t="s">
        <v>628</v>
      </c>
      <c r="B2153" s="778"/>
      <c r="C2153" s="142"/>
      <c r="D2153" s="430">
        <f>SUM(D2151:D2152)</f>
        <v>2911191.61</v>
      </c>
      <c r="E2153" s="427"/>
      <c r="F2153" s="428"/>
      <c r="G2153" s="430">
        <f>SUM(G2151:G2152)</f>
        <v>2915422.6953999996</v>
      </c>
      <c r="H2153" s="426"/>
      <c r="I2153" s="56"/>
      <c r="J2153" s="436">
        <f>SUM(J2151:J2152)</f>
        <v>2911191.61</v>
      </c>
    </row>
    <row r="2154" spans="1:10" s="7" customFormat="1" ht="31.5" customHeight="1" x14ac:dyDescent="0.25">
      <c r="A2154" s="425">
        <v>108</v>
      </c>
      <c r="B2154" s="425" t="s">
        <v>459</v>
      </c>
      <c r="C2154" s="150" t="s">
        <v>37</v>
      </c>
      <c r="D2154" s="151">
        <v>136583.29999999999</v>
      </c>
      <c r="E2154" s="320" t="s">
        <v>622</v>
      </c>
      <c r="F2154" s="155" t="s">
        <v>614</v>
      </c>
      <c r="G2154" s="151">
        <v>115748.6</v>
      </c>
      <c r="H2154" s="154">
        <v>42384</v>
      </c>
      <c r="I2154" s="154">
        <v>42528</v>
      </c>
      <c r="J2154" s="151">
        <v>115748.6</v>
      </c>
    </row>
    <row r="2155" spans="1:10" s="7" customFormat="1" ht="16.5" x14ac:dyDescent="0.25">
      <c r="A2155" s="778" t="s">
        <v>628</v>
      </c>
      <c r="B2155" s="778"/>
      <c r="C2155" s="142"/>
      <c r="D2155" s="430">
        <f>SUM(D2154:D2154)</f>
        <v>136583.29999999999</v>
      </c>
      <c r="E2155" s="427"/>
      <c r="F2155" s="428"/>
      <c r="G2155" s="430">
        <f>SUM(G2154:G2154)</f>
        <v>115748.6</v>
      </c>
      <c r="H2155" s="426"/>
      <c r="I2155" s="56"/>
      <c r="J2155" s="436">
        <f>SUM(J2154:J2154)</f>
        <v>115748.6</v>
      </c>
    </row>
    <row r="2156" spans="1:10" s="5" customFormat="1" ht="33" x14ac:dyDescent="0.25">
      <c r="A2156" s="787">
        <v>109</v>
      </c>
      <c r="B2156" s="764" t="s">
        <v>460</v>
      </c>
      <c r="C2156" s="110" t="s">
        <v>500</v>
      </c>
      <c r="D2156" s="73">
        <v>9897038.7799999993</v>
      </c>
      <c r="E2156" s="433" t="s">
        <v>771</v>
      </c>
      <c r="F2156" s="432" t="s">
        <v>743</v>
      </c>
      <c r="G2156" s="73">
        <v>9940088.7200000007</v>
      </c>
      <c r="H2156" s="434">
        <v>42581</v>
      </c>
      <c r="I2156" s="434">
        <v>42605</v>
      </c>
      <c r="J2156" s="432">
        <v>9897038.7799999993</v>
      </c>
    </row>
    <row r="2157" spans="1:10" s="7" customFormat="1" ht="33" x14ac:dyDescent="0.25">
      <c r="A2157" s="787"/>
      <c r="B2157" s="764"/>
      <c r="C2157" s="150" t="s">
        <v>37</v>
      </c>
      <c r="D2157" s="151">
        <v>96260.4</v>
      </c>
      <c r="E2157" s="320" t="s">
        <v>617</v>
      </c>
      <c r="F2157" s="155" t="s">
        <v>614</v>
      </c>
      <c r="G2157" s="151">
        <f>81576.61*1.18</f>
        <v>96260.399799999999</v>
      </c>
      <c r="H2157" s="154">
        <v>42451</v>
      </c>
      <c r="I2157" s="154">
        <v>42495</v>
      </c>
      <c r="J2157" s="155">
        <v>96260.4</v>
      </c>
    </row>
    <row r="2158" spans="1:10" s="7" customFormat="1" ht="16.5" x14ac:dyDescent="0.25">
      <c r="A2158" s="778" t="s">
        <v>628</v>
      </c>
      <c r="B2158" s="778"/>
      <c r="C2158" s="142"/>
      <c r="D2158" s="430">
        <f>SUM(D2156:D2157)</f>
        <v>9993299.1799999997</v>
      </c>
      <c r="E2158" s="427"/>
      <c r="F2158" s="428"/>
      <c r="G2158" s="430">
        <f>SUM(G2156:G2157)</f>
        <v>10036349.119800001</v>
      </c>
      <c r="H2158" s="426"/>
      <c r="I2158" s="56"/>
      <c r="J2158" s="436">
        <f>SUM(J2156:J2157)</f>
        <v>9993299.1799999997</v>
      </c>
    </row>
    <row r="2159" spans="1:10" s="5" customFormat="1" ht="33" x14ac:dyDescent="0.25">
      <c r="A2159" s="787">
        <v>110</v>
      </c>
      <c r="B2159" s="764" t="s">
        <v>461</v>
      </c>
      <c r="C2159" s="110" t="s">
        <v>500</v>
      </c>
      <c r="D2159" s="73">
        <v>10037377.359999999</v>
      </c>
      <c r="E2159" s="433" t="s">
        <v>771</v>
      </c>
      <c r="F2159" s="432" t="s">
        <v>743</v>
      </c>
      <c r="G2159" s="73">
        <v>10041621.82</v>
      </c>
      <c r="H2159" s="434">
        <v>42581</v>
      </c>
      <c r="I2159" s="434">
        <v>42605</v>
      </c>
      <c r="J2159" s="432">
        <v>10037377.359999999</v>
      </c>
    </row>
    <row r="2160" spans="1:10" s="7" customFormat="1" ht="33" x14ac:dyDescent="0.25">
      <c r="A2160" s="787"/>
      <c r="B2160" s="764"/>
      <c r="C2160" s="150" t="s">
        <v>37</v>
      </c>
      <c r="D2160" s="151">
        <v>95119.03</v>
      </c>
      <c r="E2160" s="320" t="s">
        <v>617</v>
      </c>
      <c r="F2160" s="155" t="s">
        <v>614</v>
      </c>
      <c r="G2160" s="151">
        <f>80609.35*1.18</f>
        <v>95119.032999999996</v>
      </c>
      <c r="H2160" s="154">
        <v>42451</v>
      </c>
      <c r="I2160" s="154">
        <v>42495</v>
      </c>
      <c r="J2160" s="155">
        <v>95119.03</v>
      </c>
    </row>
    <row r="2161" spans="1:10" s="7" customFormat="1" ht="16.5" x14ac:dyDescent="0.25">
      <c r="A2161" s="778" t="s">
        <v>628</v>
      </c>
      <c r="B2161" s="778"/>
      <c r="C2161" s="142"/>
      <c r="D2161" s="430">
        <f>SUM(D2159:D2160)</f>
        <v>10132496.389999999</v>
      </c>
      <c r="E2161" s="427"/>
      <c r="F2161" s="428"/>
      <c r="G2161" s="430">
        <f>SUM(G2159:G2160)</f>
        <v>10136740.853</v>
      </c>
      <c r="H2161" s="426"/>
      <c r="I2161" s="56"/>
      <c r="J2161" s="436">
        <f>SUM(J2159:J2160)</f>
        <v>10132496.389999999</v>
      </c>
    </row>
    <row r="2162" spans="1:10" s="5" customFormat="1" ht="33" x14ac:dyDescent="0.25">
      <c r="A2162" s="787">
        <v>111</v>
      </c>
      <c r="B2162" s="775" t="s">
        <v>462</v>
      </c>
      <c r="C2162" s="110" t="s">
        <v>500</v>
      </c>
      <c r="D2162" s="73">
        <v>9324476.8200000003</v>
      </c>
      <c r="E2162" s="433" t="s">
        <v>769</v>
      </c>
      <c r="F2162" s="432" t="s">
        <v>743</v>
      </c>
      <c r="G2162" s="73">
        <v>9752498.2200000007</v>
      </c>
      <c r="H2162" s="434">
        <v>42581</v>
      </c>
      <c r="I2162" s="434">
        <v>42605</v>
      </c>
      <c r="J2162" s="432">
        <v>9324476.8200000003</v>
      </c>
    </row>
    <row r="2163" spans="1:10" s="7" customFormat="1" ht="33" x14ac:dyDescent="0.25">
      <c r="A2163" s="787"/>
      <c r="B2163" s="775"/>
      <c r="C2163" s="150" t="s">
        <v>37</v>
      </c>
      <c r="D2163" s="151">
        <v>92819</v>
      </c>
      <c r="E2163" s="320" t="s">
        <v>622</v>
      </c>
      <c r="F2163" s="155" t="s">
        <v>614</v>
      </c>
      <c r="G2163" s="151">
        <v>92819</v>
      </c>
      <c r="H2163" s="154">
        <v>42384</v>
      </c>
      <c r="I2163" s="154">
        <v>42458</v>
      </c>
      <c r="J2163" s="155">
        <v>78660.2</v>
      </c>
    </row>
    <row r="2164" spans="1:10" s="7" customFormat="1" ht="16.5" x14ac:dyDescent="0.25">
      <c r="A2164" s="778" t="s">
        <v>628</v>
      </c>
      <c r="B2164" s="778"/>
      <c r="C2164" s="142"/>
      <c r="D2164" s="430">
        <f>SUM(D2162:D2163)</f>
        <v>9417295.8200000003</v>
      </c>
      <c r="E2164" s="427"/>
      <c r="F2164" s="428"/>
      <c r="G2164" s="430">
        <f>SUM(G2162:G2163)</f>
        <v>9845317.2200000007</v>
      </c>
      <c r="H2164" s="426"/>
      <c r="I2164" s="56"/>
      <c r="J2164" s="436">
        <f>SUM(J2162:J2163)</f>
        <v>9403137.0199999996</v>
      </c>
    </row>
    <row r="2165" spans="1:10" s="5" customFormat="1" ht="31.5" customHeight="1" x14ac:dyDescent="0.25">
      <c r="A2165" s="787">
        <v>112</v>
      </c>
      <c r="B2165" s="764" t="s">
        <v>463</v>
      </c>
      <c r="C2165" s="110" t="s">
        <v>500</v>
      </c>
      <c r="D2165" s="73">
        <v>17500000</v>
      </c>
      <c r="E2165" s="433" t="s">
        <v>977</v>
      </c>
      <c r="F2165" s="432" t="s">
        <v>731</v>
      </c>
      <c r="G2165" s="73">
        <v>15500000</v>
      </c>
      <c r="H2165" s="434">
        <v>42674</v>
      </c>
      <c r="I2165" s="434">
        <v>42711</v>
      </c>
      <c r="J2165" s="432">
        <v>14042529.01</v>
      </c>
    </row>
    <row r="2166" spans="1:10" s="7" customFormat="1" ht="33" x14ac:dyDescent="0.25">
      <c r="A2166" s="787"/>
      <c r="B2166" s="764"/>
      <c r="C2166" s="150" t="s">
        <v>37</v>
      </c>
      <c r="D2166" s="151">
        <v>133653.59</v>
      </c>
      <c r="E2166" s="320" t="s">
        <v>617</v>
      </c>
      <c r="F2166" s="155" t="s">
        <v>614</v>
      </c>
      <c r="G2166" s="151">
        <f>113265.75*1.18</f>
        <v>133653.58499999999</v>
      </c>
      <c r="H2166" s="154">
        <v>42451</v>
      </c>
      <c r="I2166" s="154">
        <v>42495</v>
      </c>
      <c r="J2166" s="155">
        <v>133653.59</v>
      </c>
    </row>
    <row r="2167" spans="1:10" s="9" customFormat="1" ht="16.5" outlineLevel="1" x14ac:dyDescent="0.25">
      <c r="A2167" s="787"/>
      <c r="B2167" s="764"/>
      <c r="C2167" s="254" t="s">
        <v>1007</v>
      </c>
      <c r="D2167" s="53">
        <v>116435.40651058601</v>
      </c>
      <c r="E2167" s="427"/>
      <c r="F2167" s="428"/>
      <c r="G2167" s="53"/>
      <c r="H2167" s="426"/>
      <c r="I2167" s="426"/>
      <c r="J2167" s="428"/>
    </row>
    <row r="2168" spans="1:10" s="7" customFormat="1" ht="16.5" x14ac:dyDescent="0.25">
      <c r="A2168" s="778" t="s">
        <v>628</v>
      </c>
      <c r="B2168" s="778"/>
      <c r="C2168" s="142"/>
      <c r="D2168" s="430">
        <f>SUM(D2165:D2167)</f>
        <v>17750088.996510588</v>
      </c>
      <c r="E2168" s="427"/>
      <c r="F2168" s="428"/>
      <c r="G2168" s="430">
        <f>SUM(G2165:G2166)</f>
        <v>15633653.585000001</v>
      </c>
      <c r="H2168" s="426"/>
      <c r="I2168" s="56"/>
      <c r="J2168" s="436">
        <f>SUM(J2165:J2166)</f>
        <v>14176182.6</v>
      </c>
    </row>
    <row r="2169" spans="1:10" s="5" customFormat="1" ht="31.5" customHeight="1" x14ac:dyDescent="0.25">
      <c r="A2169" s="787">
        <v>113</v>
      </c>
      <c r="B2169" s="764" t="s">
        <v>464</v>
      </c>
      <c r="C2169" s="110" t="s">
        <v>500</v>
      </c>
      <c r="D2169" s="73">
        <v>9286347.4800000004</v>
      </c>
      <c r="E2169" s="433" t="s">
        <v>1031</v>
      </c>
      <c r="F2169" s="432" t="s">
        <v>1030</v>
      </c>
      <c r="G2169" s="73">
        <v>9286347.4800000004</v>
      </c>
      <c r="H2169" s="434">
        <v>42678</v>
      </c>
      <c r="I2169" s="434">
        <v>42688</v>
      </c>
      <c r="J2169" s="432">
        <v>9178859.8100000005</v>
      </c>
    </row>
    <row r="2170" spans="1:10" s="7" customFormat="1" ht="33" x14ac:dyDescent="0.25">
      <c r="A2170" s="787"/>
      <c r="B2170" s="764"/>
      <c r="C2170" s="150" t="s">
        <v>37</v>
      </c>
      <c r="D2170" s="151">
        <v>100362.69</v>
      </c>
      <c r="E2170" s="320" t="s">
        <v>617</v>
      </c>
      <c r="F2170" s="155" t="s">
        <v>614</v>
      </c>
      <c r="G2170" s="151">
        <f>85053.13*1.18</f>
        <v>100362.6934</v>
      </c>
      <c r="H2170" s="154">
        <v>42451</v>
      </c>
      <c r="I2170" s="154">
        <v>42495</v>
      </c>
      <c r="J2170" s="155">
        <v>100362.69</v>
      </c>
    </row>
    <row r="2171" spans="1:10" s="9" customFormat="1" ht="16.5" outlineLevel="1" x14ac:dyDescent="0.25">
      <c r="A2171" s="787"/>
      <c r="B2171" s="764"/>
      <c r="C2171" s="254" t="s">
        <v>1007</v>
      </c>
      <c r="D2171" s="53">
        <v>64536.219798521197</v>
      </c>
      <c r="E2171" s="427"/>
      <c r="F2171" s="428"/>
      <c r="G2171" s="53"/>
      <c r="H2171" s="426"/>
      <c r="I2171" s="426"/>
      <c r="J2171" s="428"/>
    </row>
    <row r="2172" spans="1:10" s="7" customFormat="1" ht="16.5" x14ac:dyDescent="0.25">
      <c r="A2172" s="778" t="s">
        <v>628</v>
      </c>
      <c r="B2172" s="778"/>
      <c r="C2172" s="142"/>
      <c r="D2172" s="430">
        <f>SUM(D2169:D2171)</f>
        <v>9451246.389798522</v>
      </c>
      <c r="E2172" s="427"/>
      <c r="F2172" s="428"/>
      <c r="G2172" s="430">
        <f>SUM(G2169:G2170)</f>
        <v>9386710.1733999997</v>
      </c>
      <c r="H2172" s="426"/>
      <c r="I2172" s="56"/>
      <c r="J2172" s="436">
        <f>SUM(J2169:J2170)</f>
        <v>9279222.5</v>
      </c>
    </row>
    <row r="2173" spans="1:10" s="5" customFormat="1" ht="33" x14ac:dyDescent="0.25">
      <c r="A2173" s="787">
        <v>114</v>
      </c>
      <c r="B2173" s="764" t="s">
        <v>465</v>
      </c>
      <c r="C2173" s="110" t="s">
        <v>500</v>
      </c>
      <c r="D2173" s="73">
        <v>8935932.3200000003</v>
      </c>
      <c r="E2173" s="433" t="s">
        <v>768</v>
      </c>
      <c r="F2173" s="432" t="s">
        <v>660</v>
      </c>
      <c r="G2173" s="73">
        <v>8135991.4400000004</v>
      </c>
      <c r="H2173" s="434">
        <v>42550</v>
      </c>
      <c r="I2173" s="434">
        <v>42558</v>
      </c>
      <c r="J2173" s="432">
        <v>8935932.3200000003</v>
      </c>
    </row>
    <row r="2174" spans="1:10" s="7" customFormat="1" ht="33" x14ac:dyDescent="0.25">
      <c r="A2174" s="787"/>
      <c r="B2174" s="764"/>
      <c r="C2174" s="150" t="s">
        <v>37</v>
      </c>
      <c r="D2174" s="151">
        <v>98986.26</v>
      </c>
      <c r="E2174" s="320" t="s">
        <v>617</v>
      </c>
      <c r="F2174" s="155" t="s">
        <v>614</v>
      </c>
      <c r="G2174" s="151">
        <f>83886.66*1.18</f>
        <v>98986.258799999996</v>
      </c>
      <c r="H2174" s="154">
        <v>42451</v>
      </c>
      <c r="I2174" s="154">
        <v>42495</v>
      </c>
      <c r="J2174" s="155">
        <v>98986.26</v>
      </c>
    </row>
    <row r="2175" spans="1:10" s="7" customFormat="1" ht="16.5" x14ac:dyDescent="0.25">
      <c r="A2175" s="778" t="s">
        <v>628</v>
      </c>
      <c r="B2175" s="778"/>
      <c r="C2175" s="142"/>
      <c r="D2175" s="430">
        <f>SUM(D2173:D2174)</f>
        <v>9034918.5800000001</v>
      </c>
      <c r="E2175" s="427"/>
      <c r="F2175" s="428"/>
      <c r="G2175" s="430">
        <f>SUM(G2173:G2174)</f>
        <v>8234977.6988000004</v>
      </c>
      <c r="H2175" s="426"/>
      <c r="I2175" s="56"/>
      <c r="J2175" s="436">
        <f t="shared" ref="J2175" si="62">SUM(J2173:J2174)</f>
        <v>9034918.5800000001</v>
      </c>
    </row>
    <row r="2176" spans="1:10" s="5" customFormat="1" ht="33" x14ac:dyDescent="0.25">
      <c r="A2176" s="787">
        <v>115</v>
      </c>
      <c r="B2176" s="764" t="s">
        <v>466</v>
      </c>
      <c r="C2176" s="110" t="s">
        <v>500</v>
      </c>
      <c r="D2176" s="73">
        <v>8752553.2400000002</v>
      </c>
      <c r="E2176" s="433" t="s">
        <v>764</v>
      </c>
      <c r="F2176" s="432" t="s">
        <v>660</v>
      </c>
      <c r="G2176" s="73">
        <v>8135991.4400000004</v>
      </c>
      <c r="H2176" s="434">
        <v>42551</v>
      </c>
      <c r="I2176" s="434">
        <v>42558</v>
      </c>
      <c r="J2176" s="432">
        <v>8752553.2400000002</v>
      </c>
    </row>
    <row r="2177" spans="1:10" s="7" customFormat="1" ht="33" x14ac:dyDescent="0.25">
      <c r="A2177" s="787"/>
      <c r="B2177" s="764"/>
      <c r="C2177" s="150" t="s">
        <v>37</v>
      </c>
      <c r="D2177" s="151">
        <v>99132.71</v>
      </c>
      <c r="E2177" s="320" t="s">
        <v>617</v>
      </c>
      <c r="F2177" s="155" t="s">
        <v>614</v>
      </c>
      <c r="G2177" s="151">
        <f>84010.77*1.18</f>
        <v>99132.708599999998</v>
      </c>
      <c r="H2177" s="154">
        <v>42451</v>
      </c>
      <c r="I2177" s="154">
        <v>42495</v>
      </c>
      <c r="J2177" s="155">
        <v>99132.71</v>
      </c>
    </row>
    <row r="2178" spans="1:10" s="7" customFormat="1" ht="16.5" x14ac:dyDescent="0.25">
      <c r="A2178" s="778" t="s">
        <v>628</v>
      </c>
      <c r="B2178" s="778"/>
      <c r="C2178" s="142"/>
      <c r="D2178" s="430">
        <f>SUM(D2176:D2177)</f>
        <v>8851685.9500000011</v>
      </c>
      <c r="E2178" s="427"/>
      <c r="F2178" s="428"/>
      <c r="G2178" s="430">
        <f>SUM(G2176:G2177)</f>
        <v>8235124.1486</v>
      </c>
      <c r="H2178" s="426"/>
      <c r="I2178" s="56"/>
      <c r="J2178" s="436">
        <f t="shared" ref="J2178" si="63">SUM(J2176:J2177)</f>
        <v>8851685.9500000011</v>
      </c>
    </row>
    <row r="2179" spans="1:10" s="5" customFormat="1" ht="33" x14ac:dyDescent="0.25">
      <c r="A2179" s="787">
        <v>116</v>
      </c>
      <c r="B2179" s="764" t="s">
        <v>467</v>
      </c>
      <c r="C2179" s="110" t="s">
        <v>500</v>
      </c>
      <c r="D2179" s="73">
        <v>9793335.5</v>
      </c>
      <c r="E2179" s="433" t="s">
        <v>857</v>
      </c>
      <c r="F2179" s="432" t="s">
        <v>733</v>
      </c>
      <c r="G2179" s="73">
        <v>11487796.779999999</v>
      </c>
      <c r="H2179" s="434">
        <v>42616</v>
      </c>
      <c r="I2179" s="434">
        <v>42612</v>
      </c>
      <c r="J2179" s="432">
        <v>9793335.5</v>
      </c>
    </row>
    <row r="2180" spans="1:10" s="7" customFormat="1" ht="33" x14ac:dyDescent="0.25">
      <c r="A2180" s="787"/>
      <c r="B2180" s="764"/>
      <c r="C2180" s="150" t="s">
        <v>37</v>
      </c>
      <c r="D2180" s="151">
        <v>110937.4522</v>
      </c>
      <c r="E2180" s="320" t="s">
        <v>618</v>
      </c>
      <c r="F2180" s="155" t="s">
        <v>614</v>
      </c>
      <c r="G2180" s="151">
        <f>94014.79*1.18</f>
        <v>110937.45219999999</v>
      </c>
      <c r="H2180" s="154">
        <v>42451</v>
      </c>
      <c r="I2180" s="154">
        <v>42524</v>
      </c>
      <c r="J2180" s="155">
        <v>94014.79</v>
      </c>
    </row>
    <row r="2181" spans="1:10" s="7" customFormat="1" ht="16.5" x14ac:dyDescent="0.25">
      <c r="A2181" s="778" t="s">
        <v>628</v>
      </c>
      <c r="B2181" s="778"/>
      <c r="C2181" s="142"/>
      <c r="D2181" s="430">
        <f>SUM(D2179:D2180)</f>
        <v>9904272.9521999992</v>
      </c>
      <c r="E2181" s="427"/>
      <c r="F2181" s="428"/>
      <c r="G2181" s="430">
        <f>SUM(G2179:G2180)</f>
        <v>11598734.232199999</v>
      </c>
      <c r="H2181" s="426"/>
      <c r="I2181" s="56"/>
      <c r="J2181" s="436">
        <f>SUM(J2179:J2180)</f>
        <v>9887350.2899999991</v>
      </c>
    </row>
    <row r="2182" spans="1:10" s="5" customFormat="1" ht="33" x14ac:dyDescent="0.25">
      <c r="A2182" s="787">
        <v>117</v>
      </c>
      <c r="B2182" s="764" t="s">
        <v>468</v>
      </c>
      <c r="C2182" s="110" t="s">
        <v>500</v>
      </c>
      <c r="D2182" s="73">
        <v>5581991.4900000002</v>
      </c>
      <c r="E2182" s="433" t="s">
        <v>899</v>
      </c>
      <c r="F2182" s="432" t="s">
        <v>863</v>
      </c>
      <c r="G2182" s="73">
        <v>6188471.0599999996</v>
      </c>
      <c r="H2182" s="434">
        <v>42653</v>
      </c>
      <c r="I2182" s="434">
        <v>42654</v>
      </c>
      <c r="J2182" s="432">
        <v>5581991.4900000002</v>
      </c>
    </row>
    <row r="2183" spans="1:10" s="7" customFormat="1" ht="33" x14ac:dyDescent="0.25">
      <c r="A2183" s="787"/>
      <c r="B2183" s="764"/>
      <c r="C2183" s="150" t="s">
        <v>37</v>
      </c>
      <c r="D2183" s="151">
        <v>97328.87</v>
      </c>
      <c r="E2183" s="320" t="s">
        <v>618</v>
      </c>
      <c r="F2183" s="155" t="s">
        <v>614</v>
      </c>
      <c r="G2183" s="151">
        <f>82482.09*1.18</f>
        <v>97328.866199999989</v>
      </c>
      <c r="H2183" s="154">
        <v>42451</v>
      </c>
      <c r="I2183" s="154">
        <v>42570</v>
      </c>
      <c r="J2183" s="155">
        <v>82482.09</v>
      </c>
    </row>
    <row r="2184" spans="1:10" s="7" customFormat="1" ht="16.5" x14ac:dyDescent="0.25">
      <c r="A2184" s="778" t="s">
        <v>628</v>
      </c>
      <c r="B2184" s="778"/>
      <c r="C2184" s="142"/>
      <c r="D2184" s="430">
        <f>SUM(D2182:D2183)</f>
        <v>5679320.3600000003</v>
      </c>
      <c r="E2184" s="427"/>
      <c r="F2184" s="428"/>
      <c r="G2184" s="430">
        <f>SUM(G2182:G2183)</f>
        <v>6285799.9261999996</v>
      </c>
      <c r="H2184" s="426"/>
      <c r="I2184" s="56"/>
      <c r="J2184" s="436">
        <f>SUM(J2182:J2183)</f>
        <v>5664473.5800000001</v>
      </c>
    </row>
    <row r="2185" spans="1:10" s="5" customFormat="1" ht="34.5" customHeight="1" x14ac:dyDescent="0.25">
      <c r="A2185" s="787">
        <v>118</v>
      </c>
      <c r="B2185" s="764" t="s">
        <v>469</v>
      </c>
      <c r="C2185" s="110" t="s">
        <v>500</v>
      </c>
      <c r="D2185" s="73">
        <v>5938259.3799999999</v>
      </c>
      <c r="E2185" s="433" t="s">
        <v>793</v>
      </c>
      <c r="F2185" s="432" t="s">
        <v>794</v>
      </c>
      <c r="G2185" s="73">
        <v>10615367.539999999</v>
      </c>
      <c r="H2185" s="434">
        <v>42587</v>
      </c>
      <c r="I2185" s="434" t="s">
        <v>1357</v>
      </c>
      <c r="J2185" s="432">
        <f>5938259.38+741956.47</f>
        <v>6680215.8499999996</v>
      </c>
    </row>
    <row r="2186" spans="1:10" s="7" customFormat="1" ht="33" x14ac:dyDescent="0.25">
      <c r="A2186" s="787"/>
      <c r="B2186" s="764"/>
      <c r="C2186" s="150" t="s">
        <v>37</v>
      </c>
      <c r="D2186" s="151">
        <v>101109.26</v>
      </c>
      <c r="E2186" s="320" t="s">
        <v>618</v>
      </c>
      <c r="F2186" s="155" t="s">
        <v>614</v>
      </c>
      <c r="G2186" s="151">
        <f>85685.81*1.18</f>
        <v>101109.2558</v>
      </c>
      <c r="H2186" s="154">
        <v>42451</v>
      </c>
      <c r="I2186" s="154">
        <v>42482</v>
      </c>
      <c r="J2186" s="155">
        <v>85685.81</v>
      </c>
    </row>
    <row r="2187" spans="1:10" s="7" customFormat="1" ht="16.5" x14ac:dyDescent="0.25">
      <c r="A2187" s="778" t="s">
        <v>628</v>
      </c>
      <c r="B2187" s="778"/>
      <c r="C2187" s="142"/>
      <c r="D2187" s="430">
        <f>SUM(D2185:D2186)</f>
        <v>6039368.6399999997</v>
      </c>
      <c r="E2187" s="427"/>
      <c r="F2187" s="428"/>
      <c r="G2187" s="430">
        <f>SUM(G2185:G2186)</f>
        <v>10716476.795799999</v>
      </c>
      <c r="H2187" s="426"/>
      <c r="I2187" s="56"/>
      <c r="J2187" s="436">
        <f>SUM(J2185:J2186)</f>
        <v>6765901.6599999992</v>
      </c>
    </row>
    <row r="2188" spans="1:10" s="5" customFormat="1" ht="30" customHeight="1" x14ac:dyDescent="0.25">
      <c r="A2188" s="787">
        <v>119</v>
      </c>
      <c r="B2188" s="775" t="s">
        <v>470</v>
      </c>
      <c r="C2188" s="110" t="s">
        <v>500</v>
      </c>
      <c r="D2188" s="73">
        <v>8087159.4699999997</v>
      </c>
      <c r="E2188" s="433" t="s">
        <v>673</v>
      </c>
      <c r="F2188" s="432" t="s">
        <v>624</v>
      </c>
      <c r="G2188" s="73">
        <v>8350000</v>
      </c>
      <c r="H2188" s="434">
        <v>42497</v>
      </c>
      <c r="I2188" s="434">
        <v>42506</v>
      </c>
      <c r="J2188" s="432">
        <v>8087159.4700000007</v>
      </c>
    </row>
    <row r="2189" spans="1:10" s="7" customFormat="1" ht="33" x14ac:dyDescent="0.25">
      <c r="A2189" s="787"/>
      <c r="B2189" s="775"/>
      <c r="C2189" s="150" t="s">
        <v>37</v>
      </c>
      <c r="D2189" s="151">
        <v>73161.66</v>
      </c>
      <c r="E2189" s="320" t="s">
        <v>622</v>
      </c>
      <c r="F2189" s="155" t="s">
        <v>614</v>
      </c>
      <c r="G2189" s="151">
        <v>73161.66</v>
      </c>
      <c r="H2189" s="154">
        <v>42384</v>
      </c>
      <c r="I2189" s="154">
        <v>42394</v>
      </c>
      <c r="J2189" s="155">
        <v>62001.43</v>
      </c>
    </row>
    <row r="2190" spans="1:10" s="7" customFormat="1" ht="16.5" x14ac:dyDescent="0.25">
      <c r="A2190" s="778" t="s">
        <v>628</v>
      </c>
      <c r="B2190" s="778"/>
      <c r="C2190" s="142"/>
      <c r="D2190" s="430">
        <f>SUM(D2188:D2189)</f>
        <v>8160321.1299999999</v>
      </c>
      <c r="E2190" s="427"/>
      <c r="F2190" s="428"/>
      <c r="G2190" s="430">
        <f>SUM(G2188:G2189)</f>
        <v>8423161.6600000001</v>
      </c>
      <c r="H2190" s="426"/>
      <c r="I2190" s="56"/>
      <c r="J2190" s="436">
        <f t="shared" ref="J2190" si="64">SUM(J2188:J2189)</f>
        <v>8149160.9000000004</v>
      </c>
    </row>
    <row r="2191" spans="1:10" s="5" customFormat="1" ht="30" customHeight="1" x14ac:dyDescent="0.25">
      <c r="A2191" s="787">
        <v>120</v>
      </c>
      <c r="B2191" s="764" t="s">
        <v>471</v>
      </c>
      <c r="C2191" s="110" t="s">
        <v>500</v>
      </c>
      <c r="D2191" s="73">
        <v>6205277.2800000003</v>
      </c>
      <c r="E2191" s="433" t="s">
        <v>893</v>
      </c>
      <c r="F2191" s="432" t="s">
        <v>733</v>
      </c>
      <c r="G2191" s="73">
        <v>7265282.4199999999</v>
      </c>
      <c r="H2191" s="434">
        <v>42633</v>
      </c>
      <c r="I2191" s="434">
        <v>42657</v>
      </c>
      <c r="J2191" s="432">
        <v>6205277.2800000003</v>
      </c>
    </row>
    <row r="2192" spans="1:10" s="7" customFormat="1" ht="33" x14ac:dyDescent="0.25">
      <c r="A2192" s="787"/>
      <c r="B2192" s="764"/>
      <c r="C2192" s="150" t="s">
        <v>37</v>
      </c>
      <c r="D2192" s="151">
        <v>93305.21</v>
      </c>
      <c r="E2192" s="320" t="s">
        <v>618</v>
      </c>
      <c r="F2192" s="155" t="s">
        <v>614</v>
      </c>
      <c r="G2192" s="151">
        <f>79072.21*1.18</f>
        <v>93305.207800000004</v>
      </c>
      <c r="H2192" s="154">
        <v>42451</v>
      </c>
      <c r="I2192" s="154">
        <v>42545</v>
      </c>
      <c r="J2192" s="155">
        <v>79072.210000000006</v>
      </c>
    </row>
    <row r="2193" spans="1:10" s="7" customFormat="1" ht="16.5" x14ac:dyDescent="0.25">
      <c r="A2193" s="778" t="s">
        <v>628</v>
      </c>
      <c r="B2193" s="778"/>
      <c r="C2193" s="142"/>
      <c r="D2193" s="430">
        <f>SUM(D2191:D2192)</f>
        <v>6298582.4900000002</v>
      </c>
      <c r="E2193" s="427"/>
      <c r="F2193" s="428"/>
      <c r="G2193" s="430">
        <f>SUM(G2191:G2192)</f>
        <v>7358587.6277999999</v>
      </c>
      <c r="H2193" s="426"/>
      <c r="I2193" s="56"/>
      <c r="J2193" s="436">
        <f>SUM(J2191:J2192)</f>
        <v>6284349.4900000002</v>
      </c>
    </row>
    <row r="2194" spans="1:10" s="5" customFormat="1" ht="33" x14ac:dyDescent="0.25">
      <c r="A2194" s="787">
        <v>121</v>
      </c>
      <c r="B2194" s="775" t="s">
        <v>472</v>
      </c>
      <c r="C2194" s="73" t="s">
        <v>38</v>
      </c>
      <c r="D2194" s="73">
        <v>1910762.47</v>
      </c>
      <c r="E2194" s="433" t="s">
        <v>919</v>
      </c>
      <c r="F2194" s="432" t="s">
        <v>697</v>
      </c>
      <c r="G2194" s="73">
        <v>1569086.33</v>
      </c>
      <c r="H2194" s="434">
        <v>42625</v>
      </c>
      <c r="I2194" s="434">
        <v>42667</v>
      </c>
      <c r="J2194" s="432">
        <v>1910762.47</v>
      </c>
    </row>
    <row r="2195" spans="1:10" s="7" customFormat="1" ht="33" x14ac:dyDescent="0.25">
      <c r="A2195" s="787"/>
      <c r="B2195" s="775"/>
      <c r="C2195" s="73" t="s">
        <v>34</v>
      </c>
      <c r="D2195" s="73">
        <v>8436751.4900000002</v>
      </c>
      <c r="E2195" s="433" t="s">
        <v>919</v>
      </c>
      <c r="F2195" s="432" t="s">
        <v>697</v>
      </c>
      <c r="G2195" s="432">
        <v>9262843.4000000004</v>
      </c>
      <c r="H2195" s="434">
        <v>42625</v>
      </c>
      <c r="I2195" s="434">
        <v>42633</v>
      </c>
      <c r="J2195" s="432">
        <v>8436751.4900000002</v>
      </c>
    </row>
    <row r="2196" spans="1:10" s="7" customFormat="1" ht="33" x14ac:dyDescent="0.25">
      <c r="A2196" s="787"/>
      <c r="B2196" s="775"/>
      <c r="C2196" s="150" t="s">
        <v>37</v>
      </c>
      <c r="D2196" s="151">
        <v>195169.9</v>
      </c>
      <c r="E2196" s="320" t="s">
        <v>622</v>
      </c>
      <c r="F2196" s="155" t="s">
        <v>614</v>
      </c>
      <c r="G2196" s="151">
        <v>195169.9</v>
      </c>
      <c r="H2196" s="154">
        <v>42384</v>
      </c>
      <c r="I2196" s="154">
        <v>42571</v>
      </c>
      <c r="J2196" s="155">
        <v>165398.28</v>
      </c>
    </row>
    <row r="2197" spans="1:10" s="7" customFormat="1" ht="16.5" x14ac:dyDescent="0.25">
      <c r="A2197" s="778" t="s">
        <v>628</v>
      </c>
      <c r="B2197" s="778"/>
      <c r="C2197" s="141"/>
      <c r="D2197" s="430">
        <f>SUM(D2194:D2196)</f>
        <v>10542683.860000001</v>
      </c>
      <c r="E2197" s="427"/>
      <c r="F2197" s="428"/>
      <c r="G2197" s="430">
        <f>SUM(G2194:G2196)</f>
        <v>11027099.630000001</v>
      </c>
      <c r="H2197" s="426"/>
      <c r="I2197" s="56"/>
      <c r="J2197" s="436">
        <f>SUM(J2194:J2196)</f>
        <v>10512912.24</v>
      </c>
    </row>
    <row r="2198" spans="1:10" s="5" customFormat="1" ht="33" x14ac:dyDescent="0.25">
      <c r="A2198" s="787">
        <v>122</v>
      </c>
      <c r="B2198" s="775" t="s">
        <v>612</v>
      </c>
      <c r="C2198" s="73" t="s">
        <v>38</v>
      </c>
      <c r="D2198" s="73">
        <v>3555789.46</v>
      </c>
      <c r="E2198" s="433" t="s">
        <v>919</v>
      </c>
      <c r="F2198" s="432" t="s">
        <v>697</v>
      </c>
      <c r="G2198" s="73">
        <v>3059555.48</v>
      </c>
      <c r="H2198" s="434">
        <v>42658</v>
      </c>
      <c r="I2198" s="434">
        <v>42667</v>
      </c>
      <c r="J2198" s="432">
        <v>3555789.46</v>
      </c>
    </row>
    <row r="2199" spans="1:10" s="7" customFormat="1" ht="33" x14ac:dyDescent="0.25">
      <c r="A2199" s="787"/>
      <c r="B2199" s="775"/>
      <c r="C2199" s="73" t="s">
        <v>34</v>
      </c>
      <c r="D2199" s="73">
        <v>9663111.5899999999</v>
      </c>
      <c r="E2199" s="433" t="s">
        <v>919</v>
      </c>
      <c r="F2199" s="432" t="s">
        <v>697</v>
      </c>
      <c r="G2199" s="432">
        <v>9330164.4700000007</v>
      </c>
      <c r="H2199" s="434">
        <v>42625</v>
      </c>
      <c r="I2199" s="434">
        <v>42632</v>
      </c>
      <c r="J2199" s="432">
        <v>9663111.5899999999</v>
      </c>
    </row>
    <row r="2200" spans="1:10" s="7" customFormat="1" ht="33" x14ac:dyDescent="0.25">
      <c r="A2200" s="787"/>
      <c r="B2200" s="775"/>
      <c r="C2200" s="73" t="s">
        <v>35</v>
      </c>
      <c r="D2200" s="73">
        <v>5927980.0499999998</v>
      </c>
      <c r="E2200" s="433" t="s">
        <v>919</v>
      </c>
      <c r="F2200" s="432" t="s">
        <v>697</v>
      </c>
      <c r="G2200" s="73">
        <v>6053596.8499999996</v>
      </c>
      <c r="H2200" s="434">
        <v>42658</v>
      </c>
      <c r="I2200" s="434">
        <v>42667</v>
      </c>
      <c r="J2200" s="432">
        <v>5927980.0499999998</v>
      </c>
    </row>
    <row r="2201" spans="1:10" s="7" customFormat="1" ht="33" x14ac:dyDescent="0.25">
      <c r="A2201" s="787"/>
      <c r="B2201" s="775"/>
      <c r="C2201" s="73" t="s">
        <v>36</v>
      </c>
      <c r="D2201" s="73">
        <v>805678.63</v>
      </c>
      <c r="E2201" s="433" t="s">
        <v>919</v>
      </c>
      <c r="F2201" s="432" t="s">
        <v>697</v>
      </c>
      <c r="G2201" s="73">
        <v>824753.47</v>
      </c>
      <c r="H2201" s="434">
        <v>42658</v>
      </c>
      <c r="I2201" s="434">
        <v>42667</v>
      </c>
      <c r="J2201" s="432">
        <v>805678.63</v>
      </c>
    </row>
    <row r="2202" spans="1:10" s="7" customFormat="1" ht="33" x14ac:dyDescent="0.25">
      <c r="A2202" s="787"/>
      <c r="B2202" s="775"/>
      <c r="C2202" s="150" t="s">
        <v>37</v>
      </c>
      <c r="D2202" s="151">
        <v>336301.94</v>
      </c>
      <c r="E2202" s="320" t="s">
        <v>618</v>
      </c>
      <c r="F2202" s="155" t="s">
        <v>614</v>
      </c>
      <c r="G2202" s="151">
        <f>336301.94*1.18</f>
        <v>396836.2892</v>
      </c>
      <c r="H2202" s="154">
        <v>42451</v>
      </c>
      <c r="I2202" s="154">
        <v>42571</v>
      </c>
      <c r="J2202" s="155">
        <v>336301.92</v>
      </c>
    </row>
    <row r="2203" spans="1:10" s="7" customFormat="1" ht="16.5" x14ac:dyDescent="0.25">
      <c r="A2203" s="778" t="s">
        <v>628</v>
      </c>
      <c r="B2203" s="778"/>
      <c r="C2203" s="141"/>
      <c r="D2203" s="430">
        <f>SUM(D2198:D2202)</f>
        <v>20288861.670000002</v>
      </c>
      <c r="E2203" s="427"/>
      <c r="F2203" s="428"/>
      <c r="G2203" s="430">
        <f>SUM(G2198:G2202)</f>
        <v>19664906.5592</v>
      </c>
      <c r="H2203" s="426"/>
      <c r="I2203" s="56"/>
      <c r="J2203" s="436">
        <f>SUM(J2198:J2202)</f>
        <v>20288861.650000002</v>
      </c>
    </row>
    <row r="2204" spans="1:10" s="7" customFormat="1" ht="35.25" customHeight="1" x14ac:dyDescent="0.25">
      <c r="A2204" s="425">
        <v>123</v>
      </c>
      <c r="B2204" s="425" t="s">
        <v>1342</v>
      </c>
      <c r="C2204" s="73" t="s">
        <v>500</v>
      </c>
      <c r="D2204" s="73">
        <v>6555000</v>
      </c>
      <c r="E2204" s="633" t="s">
        <v>1360</v>
      </c>
      <c r="F2204" s="630" t="s">
        <v>733</v>
      </c>
      <c r="G2204" s="634">
        <v>5013553.3</v>
      </c>
      <c r="H2204" s="632">
        <v>42897</v>
      </c>
      <c r="I2204" s="632">
        <v>42888</v>
      </c>
      <c r="J2204" s="73">
        <v>5045296.8499999996</v>
      </c>
    </row>
    <row r="2205" spans="1:10" s="7" customFormat="1" ht="16.5" x14ac:dyDescent="0.25">
      <c r="A2205" s="778" t="s">
        <v>628</v>
      </c>
      <c r="B2205" s="778"/>
      <c r="C2205" s="141"/>
      <c r="D2205" s="430">
        <f>SUM(D2204)</f>
        <v>6555000</v>
      </c>
      <c r="E2205" s="427"/>
      <c r="F2205" s="428"/>
      <c r="G2205" s="430">
        <f>SUM(G2204)</f>
        <v>5013553.3</v>
      </c>
      <c r="H2205" s="426"/>
      <c r="I2205" s="56"/>
      <c r="J2205" s="631">
        <f>SUM(J2204)</f>
        <v>5045296.8499999996</v>
      </c>
    </row>
    <row r="2206" spans="1:10" s="5" customFormat="1" ht="33" x14ac:dyDescent="0.25">
      <c r="A2206" s="787">
        <v>124</v>
      </c>
      <c r="B2206" s="775" t="s">
        <v>473</v>
      </c>
      <c r="C2206" s="73" t="s">
        <v>38</v>
      </c>
      <c r="D2206" s="73">
        <v>2959068.3</v>
      </c>
      <c r="E2206" s="601" t="s">
        <v>998</v>
      </c>
      <c r="F2206" s="600" t="s">
        <v>999</v>
      </c>
      <c r="G2206" s="73">
        <v>2959068.3</v>
      </c>
      <c r="H2206" s="603">
        <v>42625</v>
      </c>
      <c r="I2206" s="603">
        <v>42874</v>
      </c>
      <c r="J2206" s="600">
        <v>2042297.03</v>
      </c>
    </row>
    <row r="2207" spans="1:10" s="597" customFormat="1" ht="33" x14ac:dyDescent="0.25">
      <c r="A2207" s="787"/>
      <c r="B2207" s="775"/>
      <c r="C2207" s="73" t="s">
        <v>34</v>
      </c>
      <c r="D2207" s="73">
        <v>10094418.560000001</v>
      </c>
      <c r="E2207" s="601" t="s">
        <v>998</v>
      </c>
      <c r="F2207" s="600" t="s">
        <v>999</v>
      </c>
      <c r="G2207" s="600">
        <v>10094418.560000001</v>
      </c>
      <c r="H2207" s="603">
        <v>42625</v>
      </c>
      <c r="I2207" s="603">
        <v>42877</v>
      </c>
      <c r="J2207" s="600">
        <v>11917834.43</v>
      </c>
    </row>
    <row r="2208" spans="1:10" s="7" customFormat="1" ht="33" x14ac:dyDescent="0.25">
      <c r="A2208" s="787"/>
      <c r="B2208" s="775"/>
      <c r="C2208" s="150" t="s">
        <v>37</v>
      </c>
      <c r="D2208" s="151">
        <v>199289.22</v>
      </c>
      <c r="E2208" s="320" t="s">
        <v>622</v>
      </c>
      <c r="F2208" s="155" t="s">
        <v>614</v>
      </c>
      <c r="G2208" s="151">
        <v>199289.22</v>
      </c>
      <c r="H2208" s="154">
        <v>42384</v>
      </c>
      <c r="I2208" s="154">
        <v>42571</v>
      </c>
      <c r="J2208" s="155">
        <v>168889.23</v>
      </c>
    </row>
    <row r="2209" spans="1:10" s="9" customFormat="1" ht="16.5" outlineLevel="1" x14ac:dyDescent="0.25">
      <c r="A2209" s="787"/>
      <c r="B2209" s="775"/>
      <c r="C2209" s="254" t="s">
        <v>1007</v>
      </c>
      <c r="D2209" s="53">
        <v>112514.75052465701</v>
      </c>
      <c r="E2209" s="427"/>
      <c r="F2209" s="428"/>
      <c r="G2209" s="53"/>
      <c r="H2209" s="426"/>
      <c r="I2209" s="426"/>
      <c r="J2209" s="428"/>
    </row>
    <row r="2210" spans="1:10" s="7" customFormat="1" ht="16.5" x14ac:dyDescent="0.25">
      <c r="A2210" s="778" t="s">
        <v>628</v>
      </c>
      <c r="B2210" s="778"/>
      <c r="C2210" s="141"/>
      <c r="D2210" s="430">
        <f>SUM(D2206:D2209)</f>
        <v>13365290.830524657</v>
      </c>
      <c r="E2210" s="427"/>
      <c r="F2210" s="428"/>
      <c r="G2210" s="430">
        <f>SUM(G2206:G2208)</f>
        <v>13252776.08</v>
      </c>
      <c r="H2210" s="426"/>
      <c r="I2210" s="56"/>
      <c r="J2210" s="436">
        <f>SUM(J2206:J2208)</f>
        <v>14129020.689999999</v>
      </c>
    </row>
    <row r="2211" spans="1:10" s="5" customFormat="1" ht="33" x14ac:dyDescent="0.25">
      <c r="A2211" s="787">
        <v>125</v>
      </c>
      <c r="B2211" s="775" t="s">
        <v>5</v>
      </c>
      <c r="C2211" s="73" t="s">
        <v>34</v>
      </c>
      <c r="D2211" s="73">
        <v>5674457.1600000001</v>
      </c>
      <c r="E2211" s="601" t="s">
        <v>998</v>
      </c>
      <c r="F2211" s="600" t="s">
        <v>999</v>
      </c>
      <c r="G2211" s="73">
        <v>5674457.1600000001</v>
      </c>
      <c r="H2211" s="603">
        <v>42623</v>
      </c>
      <c r="I2211" s="603">
        <v>42877</v>
      </c>
      <c r="J2211" s="600">
        <v>7027591.5599999996</v>
      </c>
    </row>
    <row r="2212" spans="1:10" s="7" customFormat="1" ht="33" x14ac:dyDescent="0.25">
      <c r="A2212" s="787"/>
      <c r="B2212" s="775"/>
      <c r="C2212" s="73" t="s">
        <v>500</v>
      </c>
      <c r="D2212" s="73">
        <v>7878062.3899999997</v>
      </c>
      <c r="E2212" s="432" t="s">
        <v>623</v>
      </c>
      <c r="F2212" s="432" t="s">
        <v>624</v>
      </c>
      <c r="G2212" s="73">
        <v>8600000</v>
      </c>
      <c r="H2212" s="434">
        <v>42475</v>
      </c>
      <c r="I2212" s="434">
        <v>42468</v>
      </c>
      <c r="J2212" s="432">
        <v>7878062.3900000006</v>
      </c>
    </row>
    <row r="2213" spans="1:10" s="7" customFormat="1" ht="33" x14ac:dyDescent="0.25">
      <c r="A2213" s="787"/>
      <c r="B2213" s="775"/>
      <c r="C2213" s="141" t="s">
        <v>501</v>
      </c>
      <c r="D2213" s="141">
        <v>11310479.359999999</v>
      </c>
      <c r="E2213" s="121" t="s">
        <v>1048</v>
      </c>
      <c r="F2213" s="121" t="s">
        <v>669</v>
      </c>
      <c r="G2213" s="121">
        <v>11310479.359999999</v>
      </c>
      <c r="H2213" s="242">
        <v>42916</v>
      </c>
      <c r="I2213" s="120"/>
      <c r="J2213" s="121"/>
    </row>
    <row r="2214" spans="1:10" s="7" customFormat="1" ht="33" x14ac:dyDescent="0.25">
      <c r="A2214" s="787"/>
      <c r="B2214" s="775"/>
      <c r="C2214" s="150" t="s">
        <v>37</v>
      </c>
      <c r="D2214" s="151">
        <v>286511.7</v>
      </c>
      <c r="E2214" s="320" t="s">
        <v>622</v>
      </c>
      <c r="F2214" s="155" t="s">
        <v>614</v>
      </c>
      <c r="G2214" s="151">
        <v>286511.7</v>
      </c>
      <c r="H2214" s="154">
        <v>42384</v>
      </c>
      <c r="I2214" s="154">
        <v>42571</v>
      </c>
      <c r="J2214" s="155">
        <v>242806.61</v>
      </c>
    </row>
    <row r="2215" spans="1:10" s="9" customFormat="1" ht="16.5" outlineLevel="1" x14ac:dyDescent="0.25">
      <c r="A2215" s="787"/>
      <c r="B2215" s="775"/>
      <c r="C2215" s="254" t="s">
        <v>1007</v>
      </c>
      <c r="D2215" s="53">
        <v>156254.27428752801</v>
      </c>
      <c r="E2215" s="427"/>
      <c r="F2215" s="428"/>
      <c r="G2215" s="53"/>
      <c r="H2215" s="426"/>
      <c r="I2215" s="426"/>
      <c r="J2215" s="428"/>
    </row>
    <row r="2216" spans="1:10" s="7" customFormat="1" ht="16.5" x14ac:dyDescent="0.25">
      <c r="A2216" s="778" t="s">
        <v>628</v>
      </c>
      <c r="B2216" s="778"/>
      <c r="C2216" s="141"/>
      <c r="D2216" s="430">
        <f>SUM(D2211:D2215)</f>
        <v>25305764.884287529</v>
      </c>
      <c r="E2216" s="427"/>
      <c r="F2216" s="428"/>
      <c r="G2216" s="430">
        <f>SUM(G2211:G2214)</f>
        <v>25871448.219999999</v>
      </c>
      <c r="H2216" s="426"/>
      <c r="I2216" s="56"/>
      <c r="J2216" s="436">
        <f>SUM(J2211:J2214)</f>
        <v>15148460.559999999</v>
      </c>
    </row>
    <row r="2217" spans="1:10" s="5" customFormat="1" ht="33" x14ac:dyDescent="0.25">
      <c r="A2217" s="787">
        <v>126</v>
      </c>
      <c r="B2217" s="764" t="s">
        <v>474</v>
      </c>
      <c r="C2217" s="110" t="s">
        <v>500</v>
      </c>
      <c r="D2217" s="73">
        <v>3858588.46</v>
      </c>
      <c r="E2217" s="433" t="s">
        <v>903</v>
      </c>
      <c r="F2217" s="432" t="s">
        <v>904</v>
      </c>
      <c r="G2217" s="73">
        <v>4000000</v>
      </c>
      <c r="H2217" s="434">
        <v>42623</v>
      </c>
      <c r="I2217" s="434">
        <v>42623</v>
      </c>
      <c r="J2217" s="432">
        <v>3858588.46</v>
      </c>
    </row>
    <row r="2218" spans="1:10" s="7" customFormat="1" ht="33" x14ac:dyDescent="0.25">
      <c r="A2218" s="787"/>
      <c r="B2218" s="764"/>
      <c r="C2218" s="150" t="s">
        <v>37</v>
      </c>
      <c r="D2218" s="151">
        <v>91653.69</v>
      </c>
      <c r="E2218" s="320" t="s">
        <v>618</v>
      </c>
      <c r="F2218" s="155" t="s">
        <v>614</v>
      </c>
      <c r="G2218" s="151">
        <f>77672.62*1.18</f>
        <v>91653.691599999991</v>
      </c>
      <c r="H2218" s="154">
        <v>42451</v>
      </c>
      <c r="I2218" s="154">
        <v>42541</v>
      </c>
      <c r="J2218" s="155">
        <v>77672.62</v>
      </c>
    </row>
    <row r="2219" spans="1:10" s="7" customFormat="1" ht="16.5" x14ac:dyDescent="0.25">
      <c r="A2219" s="778" t="s">
        <v>628</v>
      </c>
      <c r="B2219" s="778"/>
      <c r="C2219" s="142"/>
      <c r="D2219" s="430">
        <f>SUM(D2217:D2218)</f>
        <v>3950242.15</v>
      </c>
      <c r="E2219" s="427"/>
      <c r="F2219" s="428"/>
      <c r="G2219" s="430">
        <f>SUM(G2217:G2218)</f>
        <v>4091653.6916</v>
      </c>
      <c r="H2219" s="426"/>
      <c r="I2219" s="56"/>
      <c r="J2219" s="436">
        <f>SUM(J2217:J2218)</f>
        <v>3936261.08</v>
      </c>
    </row>
    <row r="2220" spans="1:10" s="5" customFormat="1" ht="31.5" customHeight="1" x14ac:dyDescent="0.25">
      <c r="A2220" s="787">
        <v>127</v>
      </c>
      <c r="B2220" s="764" t="s">
        <v>475</v>
      </c>
      <c r="C2220" s="110" t="s">
        <v>500</v>
      </c>
      <c r="D2220" s="73">
        <v>10554553.66</v>
      </c>
      <c r="E2220" s="433" t="s">
        <v>850</v>
      </c>
      <c r="F2220" s="432" t="s">
        <v>660</v>
      </c>
      <c r="G2220" s="73">
        <v>10034830.92</v>
      </c>
      <c r="H2220" s="434">
        <v>42580</v>
      </c>
      <c r="I2220" s="434">
        <v>42597</v>
      </c>
      <c r="J2220" s="432">
        <v>10554553.66</v>
      </c>
    </row>
    <row r="2221" spans="1:10" s="7" customFormat="1" ht="33" x14ac:dyDescent="0.25">
      <c r="A2221" s="787"/>
      <c r="B2221" s="764"/>
      <c r="C2221" s="150" t="s">
        <v>37</v>
      </c>
      <c r="D2221" s="151">
        <v>104025.24</v>
      </c>
      <c r="E2221" s="320" t="s">
        <v>618</v>
      </c>
      <c r="F2221" s="155" t="s">
        <v>614</v>
      </c>
      <c r="G2221" s="151">
        <f>88156.98*1.18</f>
        <v>104025.23639999999</v>
      </c>
      <c r="H2221" s="154">
        <v>42451</v>
      </c>
      <c r="I2221" s="154">
        <v>42502</v>
      </c>
      <c r="J2221" s="155">
        <v>88156.98</v>
      </c>
    </row>
    <row r="2222" spans="1:10" s="7" customFormat="1" ht="16.5" x14ac:dyDescent="0.25">
      <c r="A2222" s="778" t="s">
        <v>628</v>
      </c>
      <c r="B2222" s="778"/>
      <c r="C2222" s="142"/>
      <c r="D2222" s="430">
        <f>SUM(D2220:D2221)</f>
        <v>10658578.9</v>
      </c>
      <c r="E2222" s="427"/>
      <c r="F2222" s="428"/>
      <c r="G2222" s="430">
        <f>SUM(G2220:G2221)</f>
        <v>10138856.156400001</v>
      </c>
      <c r="H2222" s="426"/>
      <c r="I2222" s="56"/>
      <c r="J2222" s="436">
        <f>SUM(J2220:J2221)</f>
        <v>10642710.640000001</v>
      </c>
    </row>
    <row r="2223" spans="1:10" s="5" customFormat="1" ht="31.5" customHeight="1" x14ac:dyDescent="0.25">
      <c r="A2223" s="787">
        <v>128</v>
      </c>
      <c r="B2223" s="764" t="s">
        <v>476</v>
      </c>
      <c r="C2223" s="110" t="s">
        <v>500</v>
      </c>
      <c r="D2223" s="73">
        <v>10910499.48</v>
      </c>
      <c r="E2223" s="433" t="s">
        <v>806</v>
      </c>
      <c r="F2223" s="432" t="s">
        <v>660</v>
      </c>
      <c r="G2223" s="73">
        <v>9919312.4600000009</v>
      </c>
      <c r="H2223" s="434">
        <v>42579</v>
      </c>
      <c r="I2223" s="434">
        <v>42605</v>
      </c>
      <c r="J2223" s="432">
        <v>10910499.48</v>
      </c>
    </row>
    <row r="2224" spans="1:10" s="7" customFormat="1" ht="33" x14ac:dyDescent="0.25">
      <c r="A2224" s="787"/>
      <c r="B2224" s="764"/>
      <c r="C2224" s="150" t="s">
        <v>37</v>
      </c>
      <c r="D2224" s="151">
        <v>104202.26</v>
      </c>
      <c r="E2224" s="320" t="s">
        <v>618</v>
      </c>
      <c r="F2224" s="155" t="s">
        <v>614</v>
      </c>
      <c r="G2224" s="151">
        <f>88307*1.18</f>
        <v>104202.26</v>
      </c>
      <c r="H2224" s="154">
        <v>42451</v>
      </c>
      <c r="I2224" s="154">
        <v>42482</v>
      </c>
      <c r="J2224" s="155">
        <v>88307</v>
      </c>
    </row>
    <row r="2225" spans="1:10" s="7" customFormat="1" ht="16.5" x14ac:dyDescent="0.25">
      <c r="A2225" s="778" t="s">
        <v>628</v>
      </c>
      <c r="B2225" s="778"/>
      <c r="C2225" s="142"/>
      <c r="D2225" s="430">
        <f>SUM(D2223:D2224)</f>
        <v>11014701.74</v>
      </c>
      <c r="E2225" s="427"/>
      <c r="F2225" s="428"/>
      <c r="G2225" s="430">
        <f>SUM(G2223:G2224)</f>
        <v>10023514.720000001</v>
      </c>
      <c r="H2225" s="426"/>
      <c r="I2225" s="56"/>
      <c r="J2225" s="436">
        <f>SUM(J2223:J2224)</f>
        <v>10998806.48</v>
      </c>
    </row>
    <row r="2226" spans="1:10" s="5" customFormat="1" ht="31.5" customHeight="1" x14ac:dyDescent="0.25">
      <c r="A2226" s="787">
        <v>129</v>
      </c>
      <c r="B2226" s="764" t="s">
        <v>477</v>
      </c>
      <c r="C2226" s="110" t="s">
        <v>500</v>
      </c>
      <c r="D2226" s="73">
        <v>10747188.66</v>
      </c>
      <c r="E2226" s="433" t="s">
        <v>806</v>
      </c>
      <c r="F2226" s="432" t="s">
        <v>660</v>
      </c>
      <c r="G2226" s="73">
        <v>9798755.4000000004</v>
      </c>
      <c r="H2226" s="434">
        <v>42579</v>
      </c>
      <c r="I2226" s="434">
        <v>42605</v>
      </c>
      <c r="J2226" s="432">
        <v>10747188.66</v>
      </c>
    </row>
    <row r="2227" spans="1:10" s="7" customFormat="1" ht="33" x14ac:dyDescent="0.25">
      <c r="A2227" s="787"/>
      <c r="B2227" s="764"/>
      <c r="C2227" s="150" t="s">
        <v>37</v>
      </c>
      <c r="D2227" s="151">
        <v>104652.83</v>
      </c>
      <c r="E2227" s="320" t="s">
        <v>618</v>
      </c>
      <c r="F2227" s="155" t="s">
        <v>614</v>
      </c>
      <c r="G2227" s="151">
        <f>88688.84*1.18</f>
        <v>104652.83119999999</v>
      </c>
      <c r="H2227" s="154">
        <v>42451</v>
      </c>
      <c r="I2227" s="154">
        <v>42482</v>
      </c>
      <c r="J2227" s="174">
        <v>88688.84</v>
      </c>
    </row>
    <row r="2228" spans="1:10" s="7" customFormat="1" ht="16.5" x14ac:dyDescent="0.25">
      <c r="A2228" s="778" t="s">
        <v>628</v>
      </c>
      <c r="B2228" s="778"/>
      <c r="C2228" s="142"/>
      <c r="D2228" s="430">
        <f>SUM(D2226:D2227)</f>
        <v>10851841.49</v>
      </c>
      <c r="E2228" s="427"/>
      <c r="F2228" s="428"/>
      <c r="G2228" s="430">
        <f>SUM(G2226:G2227)</f>
        <v>9903408.2312000003</v>
      </c>
      <c r="H2228" s="426"/>
      <c r="I2228" s="56"/>
      <c r="J2228" s="436">
        <f>SUM(J2226:J2227)</f>
        <v>10835877.5</v>
      </c>
    </row>
    <row r="2229" spans="1:10" s="5" customFormat="1" ht="33" x14ac:dyDescent="0.25">
      <c r="A2229" s="787">
        <v>130</v>
      </c>
      <c r="B2229" s="764" t="s">
        <v>478</v>
      </c>
      <c r="C2229" s="110" t="s">
        <v>500</v>
      </c>
      <c r="D2229" s="73">
        <v>11618269.380000001</v>
      </c>
      <c r="E2229" s="433" t="s">
        <v>958</v>
      </c>
      <c r="F2229" s="432" t="s">
        <v>669</v>
      </c>
      <c r="G2229" s="73">
        <v>11618269.380000001</v>
      </c>
      <c r="H2229" s="434">
        <v>42674</v>
      </c>
      <c r="I2229" s="434">
        <v>42746</v>
      </c>
      <c r="J2229" s="432">
        <v>11033363.439999999</v>
      </c>
    </row>
    <row r="2230" spans="1:10" s="7" customFormat="1" ht="33" x14ac:dyDescent="0.25">
      <c r="A2230" s="787"/>
      <c r="B2230" s="764"/>
      <c r="C2230" s="150" t="s">
        <v>37</v>
      </c>
      <c r="D2230" s="151">
        <v>117497.38</v>
      </c>
      <c r="E2230" s="320" t="s">
        <v>618</v>
      </c>
      <c r="F2230" s="155" t="s">
        <v>614</v>
      </c>
      <c r="G2230" s="151">
        <f>99574.05*1.18</f>
        <v>117497.379</v>
      </c>
      <c r="H2230" s="154">
        <v>42451</v>
      </c>
      <c r="I2230" s="154">
        <v>42563</v>
      </c>
      <c r="J2230" s="155">
        <v>99574.05</v>
      </c>
    </row>
    <row r="2231" spans="1:10" s="9" customFormat="1" ht="16.5" outlineLevel="1" x14ac:dyDescent="0.25">
      <c r="A2231" s="787"/>
      <c r="B2231" s="764"/>
      <c r="C2231" s="254" t="s">
        <v>1007</v>
      </c>
      <c r="D2231" s="53">
        <v>134117.185252105</v>
      </c>
      <c r="E2231" s="427"/>
      <c r="F2231" s="428"/>
      <c r="G2231" s="53"/>
      <c r="H2231" s="426"/>
      <c r="I2231" s="426"/>
      <c r="J2231" s="428"/>
    </row>
    <row r="2232" spans="1:10" s="7" customFormat="1" ht="16.5" x14ac:dyDescent="0.25">
      <c r="A2232" s="778" t="s">
        <v>628</v>
      </c>
      <c r="B2232" s="778"/>
      <c r="C2232" s="142"/>
      <c r="D2232" s="430">
        <f>SUM(D2229:D2231)</f>
        <v>11869883.945252107</v>
      </c>
      <c r="E2232" s="427"/>
      <c r="F2232" s="428"/>
      <c r="G2232" s="430">
        <f>SUM(G2229:G2230)</f>
        <v>11735766.759000001</v>
      </c>
      <c r="H2232" s="426"/>
      <c r="I2232" s="56"/>
      <c r="J2232" s="436">
        <f>SUM(J2229:J2230)</f>
        <v>11132937.49</v>
      </c>
    </row>
    <row r="2233" spans="1:10" s="5" customFormat="1" ht="31.5" customHeight="1" x14ac:dyDescent="0.25">
      <c r="A2233" s="787">
        <v>131</v>
      </c>
      <c r="B2233" s="764" t="s">
        <v>479</v>
      </c>
      <c r="C2233" s="110" t="s">
        <v>500</v>
      </c>
      <c r="D2233" s="73">
        <v>12818232.619999999</v>
      </c>
      <c r="E2233" s="433" t="s">
        <v>958</v>
      </c>
      <c r="F2233" s="432" t="s">
        <v>669</v>
      </c>
      <c r="G2233" s="73">
        <v>12818232.619999999</v>
      </c>
      <c r="H2233" s="434">
        <v>42674</v>
      </c>
      <c r="I2233" s="434">
        <v>42744</v>
      </c>
      <c r="J2233" s="432">
        <v>10802825.66</v>
      </c>
    </row>
    <row r="2234" spans="1:10" s="7" customFormat="1" ht="33" x14ac:dyDescent="0.25">
      <c r="A2234" s="787"/>
      <c r="B2234" s="764"/>
      <c r="C2234" s="150" t="s">
        <v>37</v>
      </c>
      <c r="D2234" s="151">
        <v>105042.66</v>
      </c>
      <c r="E2234" s="320" t="s">
        <v>618</v>
      </c>
      <c r="F2234" s="155" t="s">
        <v>614</v>
      </c>
      <c r="G2234" s="151">
        <f>89019.2*1.18</f>
        <v>105042.65599999999</v>
      </c>
      <c r="H2234" s="154">
        <v>42451</v>
      </c>
      <c r="I2234" s="154">
        <v>42563</v>
      </c>
      <c r="J2234" s="155">
        <v>89019.199999999997</v>
      </c>
    </row>
    <row r="2235" spans="1:10" s="9" customFormat="1" ht="16.5" outlineLevel="1" x14ac:dyDescent="0.25">
      <c r="A2235" s="787"/>
      <c r="B2235" s="764"/>
      <c r="C2235" s="254" t="s">
        <v>1007</v>
      </c>
      <c r="D2235" s="53">
        <v>116258.63165843701</v>
      </c>
      <c r="E2235" s="427"/>
      <c r="F2235" s="428"/>
      <c r="G2235" s="53"/>
      <c r="H2235" s="426"/>
      <c r="I2235" s="426"/>
      <c r="J2235" s="428"/>
    </row>
    <row r="2236" spans="1:10" s="7" customFormat="1" ht="16.5" x14ac:dyDescent="0.25">
      <c r="A2236" s="778" t="s">
        <v>628</v>
      </c>
      <c r="B2236" s="778"/>
      <c r="C2236" s="142"/>
      <c r="D2236" s="430">
        <f>SUM(D2233:D2235)</f>
        <v>13039533.911658436</v>
      </c>
      <c r="E2236" s="427"/>
      <c r="F2236" s="428"/>
      <c r="G2236" s="430">
        <f>SUM(G2233:G2234)</f>
        <v>12923275.275999999</v>
      </c>
      <c r="H2236" s="426"/>
      <c r="I2236" s="56"/>
      <c r="J2236" s="436">
        <f>SUM(J2233:J2234)</f>
        <v>10891844.859999999</v>
      </c>
    </row>
    <row r="2237" spans="1:10" s="5" customFormat="1" ht="33" x14ac:dyDescent="0.25">
      <c r="A2237" s="787">
        <v>132</v>
      </c>
      <c r="B2237" s="764" t="s">
        <v>480</v>
      </c>
      <c r="C2237" s="110" t="s">
        <v>500</v>
      </c>
      <c r="D2237" s="73">
        <v>5648917.2400000002</v>
      </c>
      <c r="E2237" s="433" t="s">
        <v>924</v>
      </c>
      <c r="F2237" s="432" t="s">
        <v>662</v>
      </c>
      <c r="G2237" s="73">
        <v>7117221.9199999999</v>
      </c>
      <c r="H2237" s="434">
        <v>42643</v>
      </c>
      <c r="I2237" s="434">
        <v>42653</v>
      </c>
      <c r="J2237" s="432">
        <v>5648917.2400000002</v>
      </c>
    </row>
    <row r="2238" spans="1:10" s="7" customFormat="1" ht="33" x14ac:dyDescent="0.25">
      <c r="A2238" s="787"/>
      <c r="B2238" s="764"/>
      <c r="C2238" s="150" t="s">
        <v>37</v>
      </c>
      <c r="D2238" s="151">
        <v>95008.76</v>
      </c>
      <c r="E2238" s="320" t="s">
        <v>618</v>
      </c>
      <c r="F2238" s="155" t="s">
        <v>614</v>
      </c>
      <c r="G2238" s="151">
        <f>80515.9*1.18</f>
        <v>95008.761999999988</v>
      </c>
      <c r="H2238" s="154">
        <v>42451</v>
      </c>
      <c r="I2238" s="154">
        <v>42563</v>
      </c>
      <c r="J2238" s="155">
        <v>80515.899999999994</v>
      </c>
    </row>
    <row r="2239" spans="1:10" s="7" customFormat="1" ht="16.5" x14ac:dyDescent="0.25">
      <c r="A2239" s="778" t="s">
        <v>628</v>
      </c>
      <c r="B2239" s="778"/>
      <c r="C2239" s="142"/>
      <c r="D2239" s="430">
        <f>SUM(D2237:D2238)</f>
        <v>5743926</v>
      </c>
      <c r="E2239" s="427"/>
      <c r="F2239" s="428"/>
      <c r="G2239" s="430">
        <f>SUM(G2237:G2238)</f>
        <v>7212230.682</v>
      </c>
      <c r="H2239" s="426"/>
      <c r="I2239" s="56"/>
      <c r="J2239" s="436">
        <f>SUM(J2237:J2238)</f>
        <v>5729433.1400000006</v>
      </c>
    </row>
    <row r="2240" spans="1:10" s="25" customFormat="1" ht="33" x14ac:dyDescent="0.25">
      <c r="A2240" s="787">
        <v>133</v>
      </c>
      <c r="B2240" s="764" t="s">
        <v>481</v>
      </c>
      <c r="C2240" s="110" t="s">
        <v>500</v>
      </c>
      <c r="D2240" s="73">
        <v>11909757.699999999</v>
      </c>
      <c r="E2240" s="433" t="s">
        <v>958</v>
      </c>
      <c r="F2240" s="432" t="s">
        <v>669</v>
      </c>
      <c r="G2240" s="73">
        <v>11909757.699999999</v>
      </c>
      <c r="H2240" s="434">
        <v>42674</v>
      </c>
      <c r="I2240" s="434">
        <v>42727</v>
      </c>
      <c r="J2240" s="432">
        <v>10899293.02</v>
      </c>
    </row>
    <row r="2241" spans="1:10" s="7" customFormat="1" ht="33" x14ac:dyDescent="0.25">
      <c r="A2241" s="787"/>
      <c r="B2241" s="764"/>
      <c r="C2241" s="150" t="s">
        <v>37</v>
      </c>
      <c r="D2241" s="151">
        <v>109605.2</v>
      </c>
      <c r="E2241" s="320" t="s">
        <v>618</v>
      </c>
      <c r="F2241" s="155" t="s">
        <v>614</v>
      </c>
      <c r="G2241" s="151">
        <f>92885.76*1.18</f>
        <v>109605.19679999999</v>
      </c>
      <c r="H2241" s="154">
        <v>42451</v>
      </c>
      <c r="I2241" s="154">
        <v>42563</v>
      </c>
      <c r="J2241" s="155">
        <v>92885.759999999995</v>
      </c>
    </row>
    <row r="2242" spans="1:10" s="9" customFormat="1" ht="16.5" outlineLevel="1" x14ac:dyDescent="0.25">
      <c r="A2242" s="787"/>
      <c r="B2242" s="764"/>
      <c r="C2242" s="254" t="s">
        <v>1007</v>
      </c>
      <c r="D2242" s="53">
        <v>94008.762736306395</v>
      </c>
      <c r="E2242" s="427"/>
      <c r="F2242" s="428"/>
      <c r="G2242" s="53"/>
      <c r="H2242" s="426"/>
      <c r="I2242" s="426"/>
      <c r="J2242" s="428"/>
    </row>
    <row r="2243" spans="1:10" s="7" customFormat="1" ht="16.5" x14ac:dyDescent="0.25">
      <c r="A2243" s="778" t="s">
        <v>628</v>
      </c>
      <c r="B2243" s="778"/>
      <c r="C2243" s="142"/>
      <c r="D2243" s="430">
        <f>SUM(D2240:D2242)</f>
        <v>12113371.662736304</v>
      </c>
      <c r="E2243" s="427"/>
      <c r="F2243" s="428"/>
      <c r="G2243" s="430">
        <f>SUM(G2240:G2241)</f>
        <v>12019362.896799998</v>
      </c>
      <c r="H2243" s="426"/>
      <c r="I2243" s="56"/>
      <c r="J2243" s="436">
        <f>SUM(J2240:J2241)</f>
        <v>10992178.779999999</v>
      </c>
    </row>
    <row r="2244" spans="1:10" s="5" customFormat="1" ht="33" x14ac:dyDescent="0.25">
      <c r="A2244" s="787">
        <v>134</v>
      </c>
      <c r="B2244" s="775" t="s">
        <v>482</v>
      </c>
      <c r="C2244" s="110" t="s">
        <v>500</v>
      </c>
      <c r="D2244" s="73">
        <v>8849277.8399999999</v>
      </c>
      <c r="E2244" s="433" t="s">
        <v>748</v>
      </c>
      <c r="F2244" s="432" t="s">
        <v>743</v>
      </c>
      <c r="G2244" s="73">
        <v>9999999</v>
      </c>
      <c r="H2244" s="434">
        <v>42532</v>
      </c>
      <c r="I2244" s="434">
        <v>42562</v>
      </c>
      <c r="J2244" s="432">
        <v>8849277.8399999999</v>
      </c>
    </row>
    <row r="2245" spans="1:10" s="7" customFormat="1" ht="33" x14ac:dyDescent="0.25">
      <c r="A2245" s="787"/>
      <c r="B2245" s="775"/>
      <c r="C2245" s="150" t="s">
        <v>37</v>
      </c>
      <c r="D2245" s="151">
        <v>97766.65</v>
      </c>
      <c r="E2245" s="320" t="s">
        <v>622</v>
      </c>
      <c r="F2245" s="155" t="s">
        <v>614</v>
      </c>
      <c r="G2245" s="151">
        <v>97766.65</v>
      </c>
      <c r="H2245" s="154">
        <v>42384</v>
      </c>
      <c r="I2245" s="154">
        <v>42443</v>
      </c>
      <c r="J2245" s="155">
        <v>82853.119999999995</v>
      </c>
    </row>
    <row r="2246" spans="1:10" s="7" customFormat="1" ht="16.5" x14ac:dyDescent="0.25">
      <c r="A2246" s="778" t="s">
        <v>628</v>
      </c>
      <c r="B2246" s="778"/>
      <c r="C2246" s="142"/>
      <c r="D2246" s="430">
        <f>SUM(D2244:D2245)</f>
        <v>8947044.4900000002</v>
      </c>
      <c r="E2246" s="427"/>
      <c r="F2246" s="428"/>
      <c r="G2246" s="430">
        <f>SUM(G2244:G2245)</f>
        <v>10097765.65</v>
      </c>
      <c r="H2246" s="426"/>
      <c r="I2246" s="56"/>
      <c r="J2246" s="436">
        <f>SUM(J2244:J2245)</f>
        <v>8932130.959999999</v>
      </c>
    </row>
    <row r="2247" spans="1:10" s="5" customFormat="1" ht="33" x14ac:dyDescent="0.25">
      <c r="A2247" s="787">
        <v>135</v>
      </c>
      <c r="B2247" s="764" t="s">
        <v>483</v>
      </c>
      <c r="C2247" s="110" t="s">
        <v>500</v>
      </c>
      <c r="D2247" s="73">
        <v>4498449.38</v>
      </c>
      <c r="E2247" s="433" t="s">
        <v>1338</v>
      </c>
      <c r="F2247" s="432" t="s">
        <v>863</v>
      </c>
      <c r="G2247" s="73">
        <v>4454345.28</v>
      </c>
      <c r="H2247" s="434">
        <v>42681</v>
      </c>
      <c r="I2247" s="434">
        <v>42677</v>
      </c>
      <c r="J2247" s="432">
        <v>4498449.38</v>
      </c>
    </row>
    <row r="2248" spans="1:10" s="7" customFormat="1" ht="33" x14ac:dyDescent="0.25">
      <c r="A2248" s="787"/>
      <c r="B2248" s="764"/>
      <c r="C2248" s="150" t="s">
        <v>37</v>
      </c>
      <c r="D2248" s="151">
        <v>75472.02</v>
      </c>
      <c r="E2248" s="320" t="s">
        <v>618</v>
      </c>
      <c r="F2248" s="155" t="s">
        <v>614</v>
      </c>
      <c r="G2248" s="151">
        <f>63959.34*1.18</f>
        <v>75472.021199999988</v>
      </c>
      <c r="H2248" s="154">
        <v>42451</v>
      </c>
      <c r="I2248" s="154">
        <v>42614</v>
      </c>
      <c r="J2248" s="155">
        <v>63959.34</v>
      </c>
    </row>
    <row r="2249" spans="1:10" s="7" customFormat="1" ht="16.5" x14ac:dyDescent="0.25">
      <c r="A2249" s="778" t="s">
        <v>628</v>
      </c>
      <c r="B2249" s="778"/>
      <c r="C2249" s="142"/>
      <c r="D2249" s="430">
        <f>SUM(D2247:D2248)</f>
        <v>4573921.3999999994</v>
      </c>
      <c r="E2249" s="427"/>
      <c r="F2249" s="428"/>
      <c r="G2249" s="430">
        <f>SUM(G2247:G2248)</f>
        <v>4529817.3012000006</v>
      </c>
      <c r="H2249" s="426"/>
      <c r="I2249" s="56"/>
      <c r="J2249" s="436">
        <f>SUM(J2247:J2248)</f>
        <v>4562408.72</v>
      </c>
    </row>
    <row r="2250" spans="1:10" s="5" customFormat="1" ht="31.5" customHeight="1" x14ac:dyDescent="0.25">
      <c r="A2250" s="787">
        <v>136</v>
      </c>
      <c r="B2250" s="764" t="s">
        <v>484</v>
      </c>
      <c r="C2250" s="110" t="s">
        <v>500</v>
      </c>
      <c r="D2250" s="73">
        <v>5610059.1299999999</v>
      </c>
      <c r="E2250" s="433" t="s">
        <v>802</v>
      </c>
      <c r="F2250" s="432" t="s">
        <v>686</v>
      </c>
      <c r="G2250" s="73">
        <v>6064701.6399999997</v>
      </c>
      <c r="H2250" s="434">
        <v>42571</v>
      </c>
      <c r="I2250" s="434">
        <v>42655</v>
      </c>
      <c r="J2250" s="432">
        <v>5610059.1299999999</v>
      </c>
    </row>
    <row r="2251" spans="1:10" s="7" customFormat="1" ht="33" x14ac:dyDescent="0.25">
      <c r="A2251" s="787"/>
      <c r="B2251" s="764"/>
      <c r="C2251" s="150" t="s">
        <v>37</v>
      </c>
      <c r="D2251" s="151">
        <v>94519.96</v>
      </c>
      <c r="E2251" s="320" t="s">
        <v>618</v>
      </c>
      <c r="F2251" s="155" t="s">
        <v>614</v>
      </c>
      <c r="G2251" s="151">
        <f>80101.66*1.18</f>
        <v>94519.958799999993</v>
      </c>
      <c r="H2251" s="154">
        <v>42451</v>
      </c>
      <c r="I2251" s="154">
        <v>42482</v>
      </c>
      <c r="J2251" s="155">
        <v>80101.66</v>
      </c>
    </row>
    <row r="2252" spans="1:10" s="7" customFormat="1" ht="16.5" x14ac:dyDescent="0.25">
      <c r="A2252" s="778" t="s">
        <v>628</v>
      </c>
      <c r="B2252" s="778"/>
      <c r="C2252" s="142"/>
      <c r="D2252" s="430">
        <f>SUM(D2250:D2251)</f>
        <v>5704579.0899999999</v>
      </c>
      <c r="E2252" s="427"/>
      <c r="F2252" s="428"/>
      <c r="G2252" s="430">
        <f>SUM(G2250:G2251)</f>
        <v>6159221.5987999998</v>
      </c>
      <c r="H2252" s="426"/>
      <c r="I2252" s="56"/>
      <c r="J2252" s="436">
        <f>SUM(J2250:J2251)</f>
        <v>5690160.79</v>
      </c>
    </row>
    <row r="2253" spans="1:10" s="5" customFormat="1" ht="31.5" customHeight="1" x14ac:dyDescent="0.25">
      <c r="A2253" s="787">
        <v>137</v>
      </c>
      <c r="B2253" s="764" t="s">
        <v>485</v>
      </c>
      <c r="C2253" s="110" t="s">
        <v>500</v>
      </c>
      <c r="D2253" s="73">
        <v>3868968.3</v>
      </c>
      <c r="E2253" s="433" t="s">
        <v>802</v>
      </c>
      <c r="F2253" s="432" t="s">
        <v>686</v>
      </c>
      <c r="G2253" s="73">
        <v>3844243.65</v>
      </c>
      <c r="H2253" s="434">
        <v>42571</v>
      </c>
      <c r="I2253" s="434">
        <v>42655</v>
      </c>
      <c r="J2253" s="432">
        <v>3844243.65</v>
      </c>
    </row>
    <row r="2254" spans="1:10" s="7" customFormat="1" ht="33" x14ac:dyDescent="0.25">
      <c r="A2254" s="787"/>
      <c r="B2254" s="764"/>
      <c r="C2254" s="150" t="s">
        <v>37</v>
      </c>
      <c r="D2254" s="151">
        <v>86194.96</v>
      </c>
      <c r="E2254" s="320" t="s">
        <v>618</v>
      </c>
      <c r="F2254" s="155" t="s">
        <v>614</v>
      </c>
      <c r="G2254" s="151">
        <f>73046.58*1.18</f>
        <v>86194.964399999997</v>
      </c>
      <c r="H2254" s="154">
        <v>42451</v>
      </c>
      <c r="I2254" s="154">
        <v>42482</v>
      </c>
      <c r="J2254" s="155">
        <v>73046.58</v>
      </c>
    </row>
    <row r="2255" spans="1:10" s="7" customFormat="1" ht="16.5" x14ac:dyDescent="0.25">
      <c r="A2255" s="778" t="s">
        <v>628</v>
      </c>
      <c r="B2255" s="778"/>
      <c r="C2255" s="142"/>
      <c r="D2255" s="430">
        <f>SUM(D2253:D2254)</f>
        <v>3955163.26</v>
      </c>
      <c r="E2255" s="427"/>
      <c r="F2255" s="428"/>
      <c r="G2255" s="430">
        <f>SUM(G2253:G2254)</f>
        <v>3930438.6143999998</v>
      </c>
      <c r="H2255" s="426"/>
      <c r="I2255" s="56"/>
      <c r="J2255" s="436">
        <f>SUM(J2253:J2254)</f>
        <v>3917290.23</v>
      </c>
    </row>
    <row r="2256" spans="1:10" s="5" customFormat="1" ht="31.5" customHeight="1" x14ac:dyDescent="0.25">
      <c r="A2256" s="787">
        <v>138</v>
      </c>
      <c r="B2256" s="764" t="s">
        <v>486</v>
      </c>
      <c r="C2256" s="110" t="s">
        <v>500</v>
      </c>
      <c r="D2256" s="73">
        <v>2665146.8199999998</v>
      </c>
      <c r="E2256" s="433" t="s">
        <v>1016</v>
      </c>
      <c r="F2256" s="432" t="s">
        <v>804</v>
      </c>
      <c r="G2256" s="73">
        <v>2665146.8199999998</v>
      </c>
      <c r="H2256" s="434">
        <v>42700</v>
      </c>
      <c r="I2256" s="434">
        <v>42692</v>
      </c>
      <c r="J2256" s="432">
        <v>2495146.58</v>
      </c>
    </row>
    <row r="2257" spans="1:10" s="7" customFormat="1" ht="33" x14ac:dyDescent="0.25">
      <c r="A2257" s="787"/>
      <c r="B2257" s="764"/>
      <c r="C2257" s="150" t="s">
        <v>37</v>
      </c>
      <c r="D2257" s="151">
        <v>107466.65</v>
      </c>
      <c r="E2257" s="320" t="s">
        <v>618</v>
      </c>
      <c r="F2257" s="155" t="s">
        <v>614</v>
      </c>
      <c r="G2257" s="151">
        <f>91073.43*1.18</f>
        <v>107466.64739999999</v>
      </c>
      <c r="H2257" s="154">
        <v>42451</v>
      </c>
      <c r="I2257" s="154">
        <v>42620</v>
      </c>
      <c r="J2257" s="155">
        <v>91073.43</v>
      </c>
    </row>
    <row r="2258" spans="1:10" s="9" customFormat="1" ht="16.5" outlineLevel="1" x14ac:dyDescent="0.25">
      <c r="A2258" s="787"/>
      <c r="B2258" s="764"/>
      <c r="C2258" s="254" t="s">
        <v>1007</v>
      </c>
      <c r="D2258" s="53">
        <v>18850.580307930399</v>
      </c>
      <c r="E2258" s="427"/>
      <c r="F2258" s="428"/>
      <c r="G2258" s="53"/>
      <c r="H2258" s="426"/>
      <c r="I2258" s="426"/>
      <c r="J2258" s="428"/>
    </row>
    <row r="2259" spans="1:10" s="7" customFormat="1" ht="16.5" x14ac:dyDescent="0.25">
      <c r="A2259" s="778" t="s">
        <v>628</v>
      </c>
      <c r="B2259" s="778"/>
      <c r="C2259" s="142"/>
      <c r="D2259" s="430">
        <f>SUM(D2256:D2258)</f>
        <v>2791464.05030793</v>
      </c>
      <c r="E2259" s="427"/>
      <c r="F2259" s="428"/>
      <c r="G2259" s="430">
        <f>SUM(G2256:G2257)</f>
        <v>2772613.4674</v>
      </c>
      <c r="H2259" s="426"/>
      <c r="I2259" s="56"/>
      <c r="J2259" s="436">
        <f>SUM(J2256:J2257)</f>
        <v>2586220.0100000002</v>
      </c>
    </row>
    <row r="2260" spans="1:10" s="5" customFormat="1" ht="38.25" customHeight="1" x14ac:dyDescent="0.25">
      <c r="A2260" s="787">
        <v>139</v>
      </c>
      <c r="B2260" s="764" t="s">
        <v>487</v>
      </c>
      <c r="C2260" s="110" t="s">
        <v>500</v>
      </c>
      <c r="D2260" s="73">
        <v>6555000</v>
      </c>
      <c r="E2260" s="453" t="s">
        <v>926</v>
      </c>
      <c r="F2260" s="452" t="s">
        <v>743</v>
      </c>
      <c r="G2260" s="73">
        <v>12469823.460000001</v>
      </c>
      <c r="H2260" s="451">
        <v>42623</v>
      </c>
      <c r="I2260" s="451">
        <v>42772</v>
      </c>
      <c r="J2260" s="452">
        <v>5754220.4400000004</v>
      </c>
    </row>
    <row r="2261" spans="1:10" s="7" customFormat="1" ht="33" x14ac:dyDescent="0.25">
      <c r="A2261" s="787"/>
      <c r="B2261" s="764"/>
      <c r="C2261" s="150" t="s">
        <v>37</v>
      </c>
      <c r="D2261" s="151">
        <v>94579.87</v>
      </c>
      <c r="E2261" s="320" t="s">
        <v>618</v>
      </c>
      <c r="F2261" s="155" t="s">
        <v>614</v>
      </c>
      <c r="G2261" s="151">
        <f>80152.43*1.18</f>
        <v>94579.867399999988</v>
      </c>
      <c r="H2261" s="154">
        <v>42451</v>
      </c>
      <c r="I2261" s="154">
        <v>42529</v>
      </c>
      <c r="J2261" s="155">
        <v>80152.429999999993</v>
      </c>
    </row>
    <row r="2262" spans="1:10" s="9" customFormat="1" ht="16.5" outlineLevel="1" x14ac:dyDescent="0.25">
      <c r="A2262" s="787"/>
      <c r="B2262" s="764"/>
      <c r="C2262" s="254" t="s">
        <v>1007</v>
      </c>
      <c r="D2262" s="53">
        <v>93009.629495325207</v>
      </c>
      <c r="E2262" s="427"/>
      <c r="F2262" s="428"/>
      <c r="G2262" s="53"/>
      <c r="H2262" s="426"/>
      <c r="I2262" s="426"/>
      <c r="J2262" s="428"/>
    </row>
    <row r="2263" spans="1:10" s="7" customFormat="1" ht="16.5" x14ac:dyDescent="0.25">
      <c r="A2263" s="778" t="s">
        <v>628</v>
      </c>
      <c r="B2263" s="778"/>
      <c r="C2263" s="142"/>
      <c r="D2263" s="430">
        <f>SUM(D2260:D2262)</f>
        <v>6742589.4994953256</v>
      </c>
      <c r="E2263" s="427"/>
      <c r="F2263" s="428"/>
      <c r="G2263" s="430">
        <f>SUM(G2260:G2261)</f>
        <v>12564403.327400001</v>
      </c>
      <c r="H2263" s="426"/>
      <c r="I2263" s="56"/>
      <c r="J2263" s="436">
        <f>SUM(J2260:J2261)</f>
        <v>5834372.8700000001</v>
      </c>
    </row>
    <row r="2264" spans="1:10" s="5" customFormat="1" ht="31.5" customHeight="1" x14ac:dyDescent="0.25">
      <c r="A2264" s="787">
        <v>140</v>
      </c>
      <c r="B2264" s="775" t="s">
        <v>488</v>
      </c>
      <c r="C2264" s="110" t="s">
        <v>501</v>
      </c>
      <c r="D2264" s="73">
        <v>1772115.81</v>
      </c>
      <c r="E2264" s="433" t="s">
        <v>908</v>
      </c>
      <c r="F2264" s="432" t="s">
        <v>773</v>
      </c>
      <c r="G2264" s="73">
        <v>1888000</v>
      </c>
      <c r="H2264" s="434">
        <v>42623</v>
      </c>
      <c r="I2264" s="434">
        <v>42622</v>
      </c>
      <c r="J2264" s="432">
        <v>1772115.81</v>
      </c>
    </row>
    <row r="2265" spans="1:10" s="7" customFormat="1" ht="33" x14ac:dyDescent="0.25">
      <c r="A2265" s="787"/>
      <c r="B2265" s="775"/>
      <c r="C2265" s="150" t="s">
        <v>37</v>
      </c>
      <c r="D2265" s="151">
        <v>71863.429999999993</v>
      </c>
      <c r="E2265" s="320" t="s">
        <v>622</v>
      </c>
      <c r="F2265" s="155" t="s">
        <v>614</v>
      </c>
      <c r="G2265" s="151">
        <v>71863.429999999993</v>
      </c>
      <c r="H2265" s="154">
        <v>42384</v>
      </c>
      <c r="I2265" s="154">
        <v>42510</v>
      </c>
      <c r="J2265" s="155">
        <v>60901.23</v>
      </c>
    </row>
    <row r="2266" spans="1:10" s="7" customFormat="1" ht="16.5" x14ac:dyDescent="0.25">
      <c r="A2266" s="778" t="s">
        <v>628</v>
      </c>
      <c r="B2266" s="778"/>
      <c r="C2266" s="142"/>
      <c r="D2266" s="430">
        <f>SUM(D2264:D2265)</f>
        <v>1843979.24</v>
      </c>
      <c r="E2266" s="427"/>
      <c r="F2266" s="428"/>
      <c r="G2266" s="430">
        <f>SUM(G2264:G2265)</f>
        <v>1959863.43</v>
      </c>
      <c r="H2266" s="426"/>
      <c r="I2266" s="56"/>
      <c r="J2266" s="436">
        <f>SUM(J2264:J2265)</f>
        <v>1833017.04</v>
      </c>
    </row>
    <row r="2267" spans="1:10" s="5" customFormat="1" ht="33" x14ac:dyDescent="0.25">
      <c r="A2267" s="787">
        <v>141</v>
      </c>
      <c r="B2267" s="775" t="s">
        <v>489</v>
      </c>
      <c r="C2267" s="73" t="s">
        <v>38</v>
      </c>
      <c r="D2267" s="73">
        <v>705260.59</v>
      </c>
      <c r="E2267" s="433" t="s">
        <v>901</v>
      </c>
      <c r="F2267" s="432" t="s">
        <v>697</v>
      </c>
      <c r="G2267" s="73">
        <v>546328.15</v>
      </c>
      <c r="H2267" s="434">
        <v>42628</v>
      </c>
      <c r="I2267" s="434">
        <v>42667</v>
      </c>
      <c r="J2267" s="432">
        <v>705260.59</v>
      </c>
    </row>
    <row r="2268" spans="1:10" s="7" customFormat="1" ht="33" x14ac:dyDescent="0.25">
      <c r="A2268" s="787"/>
      <c r="B2268" s="775"/>
      <c r="C2268" s="73" t="s">
        <v>34</v>
      </c>
      <c r="D2268" s="73">
        <v>3492134.63</v>
      </c>
      <c r="E2268" s="433" t="s">
        <v>901</v>
      </c>
      <c r="F2268" s="432" t="s">
        <v>697</v>
      </c>
      <c r="G2268" s="432">
        <v>3641398.7</v>
      </c>
      <c r="H2268" s="434">
        <v>42628</v>
      </c>
      <c r="I2268" s="434">
        <v>42667</v>
      </c>
      <c r="J2268" s="432">
        <v>3492134.63</v>
      </c>
    </row>
    <row r="2269" spans="1:10" s="7" customFormat="1" ht="33" x14ac:dyDescent="0.25">
      <c r="A2269" s="787"/>
      <c r="B2269" s="775"/>
      <c r="C2269" s="73" t="s">
        <v>35</v>
      </c>
      <c r="D2269" s="73">
        <v>583607.30000000005</v>
      </c>
      <c r="E2269" s="433" t="s">
        <v>901</v>
      </c>
      <c r="F2269" s="432" t="s">
        <v>697</v>
      </c>
      <c r="G2269" s="73">
        <v>667205.14</v>
      </c>
      <c r="H2269" s="434">
        <v>42628</v>
      </c>
      <c r="I2269" s="434">
        <v>42667</v>
      </c>
      <c r="J2269" s="432">
        <v>583607.30000000005</v>
      </c>
    </row>
    <row r="2270" spans="1:10" s="7" customFormat="1" ht="33" x14ac:dyDescent="0.25">
      <c r="A2270" s="787"/>
      <c r="B2270" s="775"/>
      <c r="C2270" s="73" t="s">
        <v>36</v>
      </c>
      <c r="D2270" s="73">
        <v>340610.85</v>
      </c>
      <c r="E2270" s="433" t="s">
        <v>901</v>
      </c>
      <c r="F2270" s="432" t="s">
        <v>697</v>
      </c>
      <c r="G2270" s="73">
        <v>348676.94</v>
      </c>
      <c r="H2270" s="434">
        <v>42628</v>
      </c>
      <c r="I2270" s="434">
        <v>42667</v>
      </c>
      <c r="J2270" s="432">
        <v>340610.85</v>
      </c>
    </row>
    <row r="2271" spans="1:10" s="7" customFormat="1" ht="33" x14ac:dyDescent="0.25">
      <c r="A2271" s="787"/>
      <c r="B2271" s="775"/>
      <c r="C2271" s="150" t="s">
        <v>37</v>
      </c>
      <c r="D2271" s="151">
        <v>350029.4</v>
      </c>
      <c r="E2271" s="320" t="s">
        <v>622</v>
      </c>
      <c r="F2271" s="155" t="s">
        <v>614</v>
      </c>
      <c r="G2271" s="151">
        <v>350029.4</v>
      </c>
      <c r="H2271" s="154">
        <v>42384</v>
      </c>
      <c r="I2271" s="154">
        <v>42541</v>
      </c>
      <c r="J2271" s="155">
        <v>296635.19</v>
      </c>
    </row>
    <row r="2272" spans="1:10" s="7" customFormat="1" ht="16.5" x14ac:dyDescent="0.25">
      <c r="A2272" s="778" t="s">
        <v>628</v>
      </c>
      <c r="B2272" s="778"/>
      <c r="C2272" s="141"/>
      <c r="D2272" s="430">
        <f>SUM(D2267:D2271)</f>
        <v>5471642.7699999996</v>
      </c>
      <c r="E2272" s="427"/>
      <c r="F2272" s="428"/>
      <c r="G2272" s="430">
        <f>SUM(G2267:G2271)</f>
        <v>5553638.330000001</v>
      </c>
      <c r="H2272" s="426"/>
      <c r="I2272" s="56"/>
      <c r="J2272" s="436">
        <f>SUM(J2267:J2271)</f>
        <v>5418248.5599999996</v>
      </c>
    </row>
    <row r="2273" spans="1:10" s="5" customFormat="1" ht="33" x14ac:dyDescent="0.25">
      <c r="A2273" s="787">
        <v>142</v>
      </c>
      <c r="B2273" s="775" t="s">
        <v>490</v>
      </c>
      <c r="C2273" s="110" t="s">
        <v>500</v>
      </c>
      <c r="D2273" s="432">
        <v>7714619.9299999997</v>
      </c>
      <c r="E2273" s="432" t="s">
        <v>625</v>
      </c>
      <c r="F2273" s="432" t="s">
        <v>624</v>
      </c>
      <c r="G2273" s="432">
        <v>9130000</v>
      </c>
      <c r="H2273" s="434">
        <v>42475</v>
      </c>
      <c r="I2273" s="434">
        <v>42466</v>
      </c>
      <c r="J2273" s="432">
        <v>7714619.9300000006</v>
      </c>
    </row>
    <row r="2274" spans="1:10" s="7" customFormat="1" ht="33" x14ac:dyDescent="0.25">
      <c r="A2274" s="787"/>
      <c r="B2274" s="775"/>
      <c r="C2274" s="150" t="s">
        <v>37</v>
      </c>
      <c r="D2274" s="151">
        <v>93918.399999999994</v>
      </c>
      <c r="E2274" s="320" t="s">
        <v>622</v>
      </c>
      <c r="F2274" s="155" t="s">
        <v>614</v>
      </c>
      <c r="G2274" s="151">
        <v>93918.399999999994</v>
      </c>
      <c r="H2274" s="154">
        <v>42384</v>
      </c>
      <c r="I2274" s="154">
        <v>42345</v>
      </c>
      <c r="J2274" s="155">
        <v>79591.89</v>
      </c>
    </row>
    <row r="2275" spans="1:10" s="7" customFormat="1" ht="16.5" x14ac:dyDescent="0.25">
      <c r="A2275" s="778" t="s">
        <v>628</v>
      </c>
      <c r="B2275" s="778"/>
      <c r="C2275" s="142"/>
      <c r="D2275" s="430">
        <f>SUM(D2273:D2274)</f>
        <v>7808538.3300000001</v>
      </c>
      <c r="E2275" s="427"/>
      <c r="F2275" s="428"/>
      <c r="G2275" s="430">
        <f>SUM(G2273:G2274)</f>
        <v>9223918.4000000004</v>
      </c>
      <c r="H2275" s="426"/>
      <c r="I2275" s="56"/>
      <c r="J2275" s="436">
        <f>SUM(J2273:J2274)</f>
        <v>7794211.8200000003</v>
      </c>
    </row>
    <row r="2276" spans="1:10" s="5" customFormat="1" ht="33" x14ac:dyDescent="0.25">
      <c r="A2276" s="787">
        <v>143</v>
      </c>
      <c r="B2276" s="775" t="s">
        <v>6</v>
      </c>
      <c r="C2276" s="73" t="s">
        <v>34</v>
      </c>
      <c r="D2276" s="73">
        <v>3683250.14</v>
      </c>
      <c r="E2276" s="433" t="s">
        <v>901</v>
      </c>
      <c r="F2276" s="432" t="s">
        <v>697</v>
      </c>
      <c r="G2276" s="73">
        <v>3904102.58</v>
      </c>
      <c r="H2276" s="434">
        <v>42628</v>
      </c>
      <c r="I2276" s="434">
        <v>42667</v>
      </c>
      <c r="J2276" s="432">
        <v>3683250.14</v>
      </c>
    </row>
    <row r="2277" spans="1:10" s="7" customFormat="1" ht="33" x14ac:dyDescent="0.25">
      <c r="A2277" s="787"/>
      <c r="B2277" s="775"/>
      <c r="C2277" s="73" t="s">
        <v>35</v>
      </c>
      <c r="D2277" s="73">
        <v>649521.31999999995</v>
      </c>
      <c r="E2277" s="433" t="s">
        <v>901</v>
      </c>
      <c r="F2277" s="432" t="s">
        <v>697</v>
      </c>
      <c r="G2277" s="432">
        <v>738018.29</v>
      </c>
      <c r="H2277" s="434">
        <v>42628</v>
      </c>
      <c r="I2277" s="434">
        <v>42667</v>
      </c>
      <c r="J2277" s="432">
        <v>649521.31999999995</v>
      </c>
    </row>
    <row r="2278" spans="1:10" s="7" customFormat="1" ht="33" x14ac:dyDescent="0.25">
      <c r="A2278" s="787"/>
      <c r="B2278" s="775"/>
      <c r="C2278" s="73" t="s">
        <v>36</v>
      </c>
      <c r="D2278" s="73">
        <v>406046.99</v>
      </c>
      <c r="E2278" s="433" t="s">
        <v>901</v>
      </c>
      <c r="F2278" s="432" t="s">
        <v>697</v>
      </c>
      <c r="G2278" s="73">
        <v>415661.18</v>
      </c>
      <c r="H2278" s="434">
        <v>42628</v>
      </c>
      <c r="I2278" s="434">
        <v>42667</v>
      </c>
      <c r="J2278" s="432">
        <v>406046.99</v>
      </c>
    </row>
    <row r="2279" spans="1:10" s="7" customFormat="1" ht="33" x14ac:dyDescent="0.25">
      <c r="A2279" s="787"/>
      <c r="B2279" s="775"/>
      <c r="C2279" s="150" t="s">
        <v>37</v>
      </c>
      <c r="D2279" s="151">
        <v>274271.82</v>
      </c>
      <c r="E2279" s="320" t="s">
        <v>622</v>
      </c>
      <c r="F2279" s="155" t="s">
        <v>614</v>
      </c>
      <c r="G2279" s="151">
        <v>274271.82</v>
      </c>
      <c r="H2279" s="154">
        <v>42384</v>
      </c>
      <c r="I2279" s="154">
        <v>42571</v>
      </c>
      <c r="J2279" s="155">
        <v>232433.82</v>
      </c>
    </row>
    <row r="2280" spans="1:10" s="7" customFormat="1" ht="16.5" x14ac:dyDescent="0.25">
      <c r="A2280" s="778" t="s">
        <v>628</v>
      </c>
      <c r="B2280" s="778"/>
      <c r="C2280" s="141"/>
      <c r="D2280" s="430">
        <f>SUM(D2276:D2279)</f>
        <v>5013090.2700000005</v>
      </c>
      <c r="E2280" s="427"/>
      <c r="F2280" s="428"/>
      <c r="G2280" s="430">
        <f>SUM(G2276:G2279)</f>
        <v>5332053.87</v>
      </c>
      <c r="H2280" s="426"/>
      <c r="I2280" s="56"/>
      <c r="J2280" s="436">
        <f>SUM(J2276:J2279)</f>
        <v>4971252.2700000005</v>
      </c>
    </row>
    <row r="2281" spans="1:10" s="5" customFormat="1" ht="33.75" customHeight="1" x14ac:dyDescent="0.25">
      <c r="A2281" s="787">
        <v>144</v>
      </c>
      <c r="B2281" s="764" t="s">
        <v>491</v>
      </c>
      <c r="C2281" s="110" t="s">
        <v>500</v>
      </c>
      <c r="D2281" s="73">
        <v>3179121.66</v>
      </c>
      <c r="E2281" s="441" t="s">
        <v>862</v>
      </c>
      <c r="F2281" s="432" t="s">
        <v>863</v>
      </c>
      <c r="G2281" s="73">
        <v>3800000</v>
      </c>
      <c r="H2281" s="434">
        <v>42593</v>
      </c>
      <c r="I2281" s="434">
        <v>42592</v>
      </c>
      <c r="J2281" s="432">
        <v>3179121.66</v>
      </c>
    </row>
    <row r="2282" spans="1:10" s="7" customFormat="1" ht="33" x14ac:dyDescent="0.25">
      <c r="A2282" s="787"/>
      <c r="B2282" s="764"/>
      <c r="C2282" s="150" t="s">
        <v>37</v>
      </c>
      <c r="D2282" s="151">
        <v>76394.84</v>
      </c>
      <c r="E2282" s="320" t="s">
        <v>615</v>
      </c>
      <c r="F2282" s="155" t="s">
        <v>614</v>
      </c>
      <c r="G2282" s="151">
        <f>64741.39*1.18</f>
        <v>76394.840199999991</v>
      </c>
      <c r="H2282" s="154">
        <v>42420</v>
      </c>
      <c r="I2282" s="154">
        <v>42529</v>
      </c>
      <c r="J2282" s="155">
        <v>64741.39</v>
      </c>
    </row>
    <row r="2283" spans="1:10" s="7" customFormat="1" ht="16.5" x14ac:dyDescent="0.25">
      <c r="A2283" s="778" t="s">
        <v>628</v>
      </c>
      <c r="B2283" s="778"/>
      <c r="C2283" s="142"/>
      <c r="D2283" s="430">
        <f>SUM(D2281:D2282)</f>
        <v>3255516.5</v>
      </c>
      <c r="E2283" s="427"/>
      <c r="F2283" s="428"/>
      <c r="G2283" s="430">
        <f>SUM(G2281:G2282)</f>
        <v>3876394.8402</v>
      </c>
      <c r="H2283" s="426"/>
      <c r="I2283" s="56"/>
      <c r="J2283" s="436">
        <f>SUM(J2281:J2282)</f>
        <v>3243863.0500000003</v>
      </c>
    </row>
    <row r="2284" spans="1:10" s="5" customFormat="1" ht="33" x14ac:dyDescent="0.25">
      <c r="A2284" s="787">
        <v>145</v>
      </c>
      <c r="B2284" s="764" t="s">
        <v>613</v>
      </c>
      <c r="C2284" s="110" t="s">
        <v>500</v>
      </c>
      <c r="D2284" s="73">
        <v>1953990.46</v>
      </c>
      <c r="E2284" s="432" t="s">
        <v>730</v>
      </c>
      <c r="F2284" s="432" t="s">
        <v>731</v>
      </c>
      <c r="G2284" s="73">
        <v>2000000</v>
      </c>
      <c r="H2284" s="434">
        <v>42517</v>
      </c>
      <c r="I2284" s="434">
        <v>42517</v>
      </c>
      <c r="J2284" s="432">
        <v>1953990.46</v>
      </c>
    </row>
    <row r="2285" spans="1:10" s="7" customFormat="1" ht="33" x14ac:dyDescent="0.25">
      <c r="A2285" s="787"/>
      <c r="B2285" s="764"/>
      <c r="C2285" s="110" t="s">
        <v>501</v>
      </c>
      <c r="D2285" s="73">
        <v>1190000</v>
      </c>
      <c r="E2285" s="433" t="s">
        <v>1036</v>
      </c>
      <c r="F2285" s="432" t="s">
        <v>731</v>
      </c>
      <c r="G2285" s="432">
        <v>1190000</v>
      </c>
      <c r="H2285" s="434">
        <v>42735</v>
      </c>
      <c r="I2285" s="434">
        <v>42712</v>
      </c>
      <c r="J2285" s="432">
        <v>1043415.93</v>
      </c>
    </row>
    <row r="2286" spans="1:10" s="7" customFormat="1" ht="33" x14ac:dyDescent="0.25">
      <c r="A2286" s="787"/>
      <c r="B2286" s="764"/>
      <c r="C2286" s="150" t="s">
        <v>37</v>
      </c>
      <c r="D2286" s="151">
        <v>133994.5</v>
      </c>
      <c r="E2286" s="320" t="s">
        <v>615</v>
      </c>
      <c r="F2286" s="155" t="s">
        <v>614</v>
      </c>
      <c r="G2286" s="151">
        <f>113554.66*1.18</f>
        <v>133994.4988</v>
      </c>
      <c r="H2286" s="154">
        <v>42420</v>
      </c>
      <c r="I2286" s="154">
        <v>42452</v>
      </c>
      <c r="J2286" s="155">
        <v>113554.67</v>
      </c>
    </row>
    <row r="2287" spans="1:10" s="7" customFormat="1" ht="16.5" x14ac:dyDescent="0.25">
      <c r="A2287" s="778" t="s">
        <v>628</v>
      </c>
      <c r="B2287" s="778"/>
      <c r="C2287" s="142"/>
      <c r="D2287" s="430">
        <f>SUM(D2284:D2286)</f>
        <v>3277984.96</v>
      </c>
      <c r="E2287" s="427"/>
      <c r="F2287" s="428"/>
      <c r="G2287" s="430">
        <f>SUM(G2284:G2286)</f>
        <v>3323994.4988000002</v>
      </c>
      <c r="H2287" s="426"/>
      <c r="I2287" s="56"/>
      <c r="J2287" s="436">
        <f t="shared" ref="J2287" si="65">SUM(J2284:J2286)</f>
        <v>3110961.06</v>
      </c>
    </row>
    <row r="2288" spans="1:10" s="5" customFormat="1" ht="33.75" customHeight="1" x14ac:dyDescent="0.25">
      <c r="A2288" s="787">
        <v>146</v>
      </c>
      <c r="B2288" s="764" t="s">
        <v>492</v>
      </c>
      <c r="C2288" s="110" t="s">
        <v>500</v>
      </c>
      <c r="D2288" s="73">
        <v>3548263.54</v>
      </c>
      <c r="E2288" s="433" t="s">
        <v>883</v>
      </c>
      <c r="F2288" s="432" t="s">
        <v>881</v>
      </c>
      <c r="G2288" s="73">
        <v>3794455.2</v>
      </c>
      <c r="H2288" s="434">
        <v>42628</v>
      </c>
      <c r="I2288" s="434">
        <v>42669</v>
      </c>
      <c r="J2288" s="432">
        <v>3548263.54</v>
      </c>
    </row>
    <row r="2289" spans="1:10" s="7" customFormat="1" ht="33" x14ac:dyDescent="0.25">
      <c r="A2289" s="787"/>
      <c r="B2289" s="764"/>
      <c r="C2289" s="150" t="s">
        <v>37</v>
      </c>
      <c r="D2289" s="151">
        <v>87352.07</v>
      </c>
      <c r="E2289" s="320" t="s">
        <v>615</v>
      </c>
      <c r="F2289" s="155" t="s">
        <v>614</v>
      </c>
      <c r="G2289" s="151">
        <f>74027.18*1.18</f>
        <v>87352.07239999999</v>
      </c>
      <c r="H2289" s="154">
        <v>42420</v>
      </c>
      <c r="I2289" s="154">
        <v>42524</v>
      </c>
      <c r="J2289" s="155">
        <v>74027.179999999993</v>
      </c>
    </row>
    <row r="2290" spans="1:10" s="7" customFormat="1" ht="16.5" x14ac:dyDescent="0.25">
      <c r="A2290" s="778" t="s">
        <v>628</v>
      </c>
      <c r="B2290" s="778"/>
      <c r="C2290" s="142"/>
      <c r="D2290" s="430">
        <f>SUM(D2288:D2289)</f>
        <v>3635615.61</v>
      </c>
      <c r="E2290" s="427"/>
      <c r="F2290" s="428"/>
      <c r="G2290" s="430">
        <f>SUM(G2288:G2289)</f>
        <v>3881807.2724000001</v>
      </c>
      <c r="H2290" s="426"/>
      <c r="I2290" s="56"/>
      <c r="J2290" s="436">
        <f>SUM(J2288:J2289)</f>
        <v>3622290.72</v>
      </c>
    </row>
    <row r="2291" spans="1:10" s="5" customFormat="1" ht="33" x14ac:dyDescent="0.25">
      <c r="A2291" s="787">
        <v>147</v>
      </c>
      <c r="B2291" s="764" t="s">
        <v>493</v>
      </c>
      <c r="C2291" s="110" t="s">
        <v>500</v>
      </c>
      <c r="D2291" s="73">
        <v>4267180.83</v>
      </c>
      <c r="E2291" s="433" t="s">
        <v>902</v>
      </c>
      <c r="F2291" s="432" t="s">
        <v>723</v>
      </c>
      <c r="G2291" s="73">
        <v>4950833.76</v>
      </c>
      <c r="H2291" s="434">
        <v>42653</v>
      </c>
      <c r="I2291" s="434">
        <v>42660</v>
      </c>
      <c r="J2291" s="432">
        <v>4267180.83</v>
      </c>
    </row>
    <row r="2292" spans="1:10" s="7" customFormat="1" ht="33" x14ac:dyDescent="0.25">
      <c r="A2292" s="787"/>
      <c r="B2292" s="764"/>
      <c r="C2292" s="150" t="s">
        <v>37</v>
      </c>
      <c r="D2292" s="151">
        <v>74729.16</v>
      </c>
      <c r="E2292" s="320" t="s">
        <v>615</v>
      </c>
      <c r="F2292" s="155" t="s">
        <v>614</v>
      </c>
      <c r="G2292" s="151">
        <f>63329.8*1.18</f>
        <v>74729.164000000004</v>
      </c>
      <c r="H2292" s="154">
        <v>42420</v>
      </c>
      <c r="I2292" s="154">
        <v>42565</v>
      </c>
      <c r="J2292" s="155">
        <v>63329.8</v>
      </c>
    </row>
    <row r="2293" spans="1:10" s="7" customFormat="1" ht="16.5" x14ac:dyDescent="0.25">
      <c r="A2293" s="778" t="s">
        <v>628</v>
      </c>
      <c r="B2293" s="778"/>
      <c r="C2293" s="142"/>
      <c r="D2293" s="430">
        <f>SUM(D2291:D2292)</f>
        <v>4341909.99</v>
      </c>
      <c r="E2293" s="427"/>
      <c r="F2293" s="428"/>
      <c r="G2293" s="430">
        <f>SUM(G2291:G2292)</f>
        <v>5025562.9239999996</v>
      </c>
      <c r="H2293" s="426"/>
      <c r="I2293" s="56"/>
      <c r="J2293" s="436">
        <f>SUM(J2291:J2292)</f>
        <v>4330510.63</v>
      </c>
    </row>
    <row r="2294" spans="1:10" s="5" customFormat="1" ht="33" x14ac:dyDescent="0.25">
      <c r="A2294" s="787">
        <v>148</v>
      </c>
      <c r="B2294" s="764" t="s">
        <v>494</v>
      </c>
      <c r="C2294" s="110" t="s">
        <v>500</v>
      </c>
      <c r="D2294" s="73">
        <v>4447845.5</v>
      </c>
      <c r="E2294" s="433" t="s">
        <v>902</v>
      </c>
      <c r="F2294" s="432" t="s">
        <v>723</v>
      </c>
      <c r="G2294" s="73">
        <v>4949166.24</v>
      </c>
      <c r="H2294" s="434">
        <v>42653</v>
      </c>
      <c r="I2294" s="434">
        <v>42660</v>
      </c>
      <c r="J2294" s="432">
        <v>4447845.5</v>
      </c>
    </row>
    <row r="2295" spans="1:10" s="7" customFormat="1" ht="33" x14ac:dyDescent="0.25">
      <c r="A2295" s="787"/>
      <c r="B2295" s="764"/>
      <c r="C2295" s="150" t="s">
        <v>37</v>
      </c>
      <c r="D2295" s="151">
        <v>74824.67</v>
      </c>
      <c r="E2295" s="320" t="s">
        <v>615</v>
      </c>
      <c r="F2295" s="155" t="s">
        <v>614</v>
      </c>
      <c r="G2295" s="151">
        <f>63410.74*1.18</f>
        <v>74824.67319999999</v>
      </c>
      <c r="H2295" s="154">
        <v>42420</v>
      </c>
      <c r="I2295" s="154">
        <v>42565</v>
      </c>
      <c r="J2295" s="155">
        <v>63410.74</v>
      </c>
    </row>
    <row r="2296" spans="1:10" s="7" customFormat="1" ht="16.5" x14ac:dyDescent="0.25">
      <c r="A2296" s="778" t="s">
        <v>628</v>
      </c>
      <c r="B2296" s="778"/>
      <c r="C2296" s="142"/>
      <c r="D2296" s="430">
        <f>SUM(D2294:D2295)</f>
        <v>4522670.17</v>
      </c>
      <c r="E2296" s="427"/>
      <c r="F2296" s="428"/>
      <c r="G2296" s="430">
        <f>SUM(G2294:G2295)</f>
        <v>5023990.9132000003</v>
      </c>
      <c r="H2296" s="426"/>
      <c r="I2296" s="56"/>
      <c r="J2296" s="436">
        <f>SUM(J2294:J2295)</f>
        <v>4511256.24</v>
      </c>
    </row>
    <row r="2297" spans="1:10" s="5" customFormat="1" ht="33" x14ac:dyDescent="0.25">
      <c r="A2297" s="787">
        <v>149</v>
      </c>
      <c r="B2297" s="775" t="s">
        <v>495</v>
      </c>
      <c r="C2297" s="73" t="s">
        <v>38</v>
      </c>
      <c r="D2297" s="73">
        <v>220340.67</v>
      </c>
      <c r="E2297" s="433" t="s">
        <v>901</v>
      </c>
      <c r="F2297" s="432" t="s">
        <v>697</v>
      </c>
      <c r="G2297" s="73">
        <v>192609.02</v>
      </c>
      <c r="H2297" s="434">
        <v>42633</v>
      </c>
      <c r="I2297" s="434">
        <v>42683</v>
      </c>
      <c r="J2297" s="432">
        <v>220340.67</v>
      </c>
    </row>
    <row r="2298" spans="1:10" s="7" customFormat="1" ht="33" x14ac:dyDescent="0.25">
      <c r="A2298" s="787"/>
      <c r="B2298" s="775"/>
      <c r="C2298" s="73" t="s">
        <v>500</v>
      </c>
      <c r="D2298" s="73">
        <v>2196275.9700000002</v>
      </c>
      <c r="E2298" s="433" t="s">
        <v>909</v>
      </c>
      <c r="F2298" s="432" t="s">
        <v>726</v>
      </c>
      <c r="G2298" s="432">
        <v>2850000</v>
      </c>
      <c r="H2298" s="434">
        <v>42618</v>
      </c>
      <c r="I2298" s="434">
        <v>42618</v>
      </c>
      <c r="J2298" s="432">
        <v>2196275.9700000002</v>
      </c>
    </row>
    <row r="2299" spans="1:10" s="7" customFormat="1" ht="33" x14ac:dyDescent="0.25">
      <c r="A2299" s="787"/>
      <c r="B2299" s="775"/>
      <c r="C2299" s="150" t="s">
        <v>37</v>
      </c>
      <c r="D2299" s="151">
        <f>45570.4*1.18</f>
        <v>53773.072</v>
      </c>
      <c r="E2299" s="320" t="s">
        <v>618</v>
      </c>
      <c r="F2299" s="155" t="s">
        <v>614</v>
      </c>
      <c r="G2299" s="151">
        <f>45570.4*1.18</f>
        <v>53773.072</v>
      </c>
      <c r="H2299" s="154">
        <v>42451</v>
      </c>
      <c r="I2299" s="154">
        <v>42542</v>
      </c>
      <c r="J2299" s="155">
        <v>45570.42</v>
      </c>
    </row>
    <row r="2300" spans="1:10" s="7" customFormat="1" ht="33" x14ac:dyDescent="0.25">
      <c r="A2300" s="787"/>
      <c r="B2300" s="775"/>
      <c r="C2300" s="141" t="s">
        <v>501</v>
      </c>
      <c r="D2300" s="141">
        <v>2818000</v>
      </c>
      <c r="E2300" s="121" t="s">
        <v>1042</v>
      </c>
      <c r="F2300" s="121" t="s">
        <v>787</v>
      </c>
      <c r="G2300" s="141">
        <v>2500000</v>
      </c>
      <c r="H2300" s="242">
        <v>42906</v>
      </c>
      <c r="I2300" s="120"/>
      <c r="J2300" s="121"/>
    </row>
    <row r="2301" spans="1:10" s="7" customFormat="1" ht="33" x14ac:dyDescent="0.25">
      <c r="A2301" s="787"/>
      <c r="B2301" s="775"/>
      <c r="C2301" s="150" t="s">
        <v>37</v>
      </c>
      <c r="D2301" s="151">
        <f>71592.76*1.18</f>
        <v>84479.456799999985</v>
      </c>
      <c r="E2301" s="320" t="s">
        <v>622</v>
      </c>
      <c r="F2301" s="155" t="s">
        <v>614</v>
      </c>
      <c r="G2301" s="151">
        <f>D2301*0.99999965591</f>
        <v>84479.427731463686</v>
      </c>
      <c r="H2301" s="154">
        <v>42384</v>
      </c>
      <c r="I2301" s="154">
        <v>42510</v>
      </c>
      <c r="J2301" s="155">
        <v>71591.94</v>
      </c>
    </row>
    <row r="2302" spans="1:10" s="7" customFormat="1" ht="16.5" x14ac:dyDescent="0.25">
      <c r="A2302" s="778" t="s">
        <v>628</v>
      </c>
      <c r="B2302" s="778"/>
      <c r="C2302" s="141"/>
      <c r="D2302" s="430">
        <f>SUM(D2297:D2301)</f>
        <v>5372869.1688000001</v>
      </c>
      <c r="E2302" s="427"/>
      <c r="F2302" s="428"/>
      <c r="G2302" s="430">
        <f>SUM(G2297:G2301)</f>
        <v>5680861.5197314639</v>
      </c>
      <c r="H2302" s="426"/>
      <c r="I2302" s="56"/>
      <c r="J2302" s="436">
        <f>SUM(J2297:J2301)</f>
        <v>2533779</v>
      </c>
    </row>
    <row r="2303" spans="1:10" s="7" customFormat="1" ht="19.5" customHeight="1" outlineLevel="1" x14ac:dyDescent="0.25">
      <c r="A2303" s="424"/>
      <c r="B2303" s="778" t="s">
        <v>1008</v>
      </c>
      <c r="C2303" s="778"/>
      <c r="D2303" s="430">
        <v>16620981.92</v>
      </c>
      <c r="E2303" s="427"/>
      <c r="F2303" s="428"/>
      <c r="G2303" s="430">
        <f>SUM(G2304:G2401)</f>
        <v>16094623.49</v>
      </c>
      <c r="H2303" s="426"/>
      <c r="I2303" s="56"/>
      <c r="J2303" s="458">
        <f>SUM(J2304:J2401)</f>
        <v>13690122.890000001</v>
      </c>
    </row>
    <row r="2304" spans="1:10" s="7" customFormat="1" ht="45.75" customHeight="1" outlineLevel="1" x14ac:dyDescent="0.25">
      <c r="A2304" s="424"/>
      <c r="B2304" s="442" t="s">
        <v>1228</v>
      </c>
      <c r="C2304" s="140" t="s">
        <v>37</v>
      </c>
      <c r="D2304" s="430"/>
      <c r="E2304" s="866" t="s">
        <v>1175</v>
      </c>
      <c r="F2304" s="867" t="s">
        <v>1176</v>
      </c>
      <c r="G2304" s="53">
        <v>60000</v>
      </c>
      <c r="H2304" s="685">
        <v>42733</v>
      </c>
      <c r="I2304" s="672">
        <v>42853</v>
      </c>
      <c r="J2304" s="151">
        <v>50847.46</v>
      </c>
    </row>
    <row r="2305" spans="1:10" s="7" customFormat="1" ht="34.5" customHeight="1" outlineLevel="1" x14ac:dyDescent="0.25">
      <c r="A2305" s="424"/>
      <c r="B2305" s="442" t="s">
        <v>1173</v>
      </c>
      <c r="C2305" s="140" t="s">
        <v>37</v>
      </c>
      <c r="D2305" s="430"/>
      <c r="E2305" s="866"/>
      <c r="F2305" s="867"/>
      <c r="G2305" s="53">
        <v>112000</v>
      </c>
      <c r="H2305" s="685"/>
      <c r="I2305" s="673"/>
      <c r="J2305" s="151">
        <v>94915.26</v>
      </c>
    </row>
    <row r="2306" spans="1:10" s="7" customFormat="1" ht="40.5" customHeight="1" outlineLevel="1" x14ac:dyDescent="0.25">
      <c r="A2306" s="424"/>
      <c r="B2306" s="442" t="s">
        <v>1191</v>
      </c>
      <c r="C2306" s="140" t="s">
        <v>37</v>
      </c>
      <c r="D2306" s="430"/>
      <c r="E2306" s="866"/>
      <c r="F2306" s="867"/>
      <c r="G2306" s="53">
        <v>173500</v>
      </c>
      <c r="H2306" s="685"/>
      <c r="I2306" s="673"/>
      <c r="J2306" s="151">
        <v>147033.9</v>
      </c>
    </row>
    <row r="2307" spans="1:10" s="7" customFormat="1" ht="37.5" customHeight="1" outlineLevel="1" x14ac:dyDescent="0.25">
      <c r="A2307" s="424"/>
      <c r="B2307" s="442" t="s">
        <v>1192</v>
      </c>
      <c r="C2307" s="140" t="s">
        <v>37</v>
      </c>
      <c r="D2307" s="430"/>
      <c r="E2307" s="866"/>
      <c r="F2307" s="867"/>
      <c r="G2307" s="53">
        <v>90500</v>
      </c>
      <c r="H2307" s="685"/>
      <c r="I2307" s="673"/>
      <c r="J2307" s="151">
        <v>76694.92</v>
      </c>
    </row>
    <row r="2308" spans="1:10" s="7" customFormat="1" ht="35.25" customHeight="1" outlineLevel="1" x14ac:dyDescent="0.25">
      <c r="A2308" s="424"/>
      <c r="B2308" s="442" t="s">
        <v>1193</v>
      </c>
      <c r="C2308" s="140" t="s">
        <v>37</v>
      </c>
      <c r="D2308" s="430"/>
      <c r="E2308" s="866"/>
      <c r="F2308" s="867"/>
      <c r="G2308" s="53">
        <v>82500</v>
      </c>
      <c r="H2308" s="685"/>
      <c r="I2308" s="673"/>
      <c r="J2308" s="151">
        <v>69915.25</v>
      </c>
    </row>
    <row r="2309" spans="1:10" s="7" customFormat="1" ht="41.25" customHeight="1" outlineLevel="1" x14ac:dyDescent="0.25">
      <c r="A2309" s="424"/>
      <c r="B2309" s="442" t="s">
        <v>1194</v>
      </c>
      <c r="C2309" s="140" t="s">
        <v>37</v>
      </c>
      <c r="D2309" s="430"/>
      <c r="E2309" s="866"/>
      <c r="F2309" s="867"/>
      <c r="G2309" s="53">
        <v>91500</v>
      </c>
      <c r="H2309" s="685"/>
      <c r="I2309" s="673"/>
      <c r="J2309" s="151">
        <v>77542.37</v>
      </c>
    </row>
    <row r="2310" spans="1:10" s="7" customFormat="1" ht="33" customHeight="1" outlineLevel="1" x14ac:dyDescent="0.25">
      <c r="A2310" s="424"/>
      <c r="B2310" s="442" t="s">
        <v>1195</v>
      </c>
      <c r="C2310" s="140" t="s">
        <v>37</v>
      </c>
      <c r="D2310" s="430"/>
      <c r="E2310" s="866"/>
      <c r="F2310" s="867"/>
      <c r="G2310" s="53">
        <v>83500</v>
      </c>
      <c r="H2310" s="685"/>
      <c r="I2310" s="673"/>
      <c r="J2310" s="151">
        <v>70762.710000000006</v>
      </c>
    </row>
    <row r="2311" spans="1:10" s="7" customFormat="1" ht="47.25" customHeight="1" outlineLevel="1" x14ac:dyDescent="0.25">
      <c r="A2311" s="424"/>
      <c r="B2311" s="442" t="s">
        <v>1196</v>
      </c>
      <c r="C2311" s="140" t="s">
        <v>37</v>
      </c>
      <c r="D2311" s="430"/>
      <c r="E2311" s="866"/>
      <c r="F2311" s="867"/>
      <c r="G2311" s="53">
        <v>96500</v>
      </c>
      <c r="H2311" s="685"/>
      <c r="I2311" s="673"/>
      <c r="J2311" s="151">
        <v>81779.66</v>
      </c>
    </row>
    <row r="2312" spans="1:10" s="7" customFormat="1" ht="46.5" customHeight="1" outlineLevel="1" x14ac:dyDescent="0.25">
      <c r="A2312" s="424"/>
      <c r="B2312" s="442" t="s">
        <v>1197</v>
      </c>
      <c r="C2312" s="140" t="s">
        <v>37</v>
      </c>
      <c r="D2312" s="430"/>
      <c r="E2312" s="866"/>
      <c r="F2312" s="867"/>
      <c r="G2312" s="53">
        <v>97000</v>
      </c>
      <c r="H2312" s="685"/>
      <c r="I2312" s="673"/>
      <c r="J2312" s="151">
        <v>82203.39</v>
      </c>
    </row>
    <row r="2313" spans="1:10" s="7" customFormat="1" ht="36" customHeight="1" outlineLevel="1" x14ac:dyDescent="0.25">
      <c r="A2313" s="424"/>
      <c r="B2313" s="442" t="s">
        <v>1198</v>
      </c>
      <c r="C2313" s="140" t="s">
        <v>37</v>
      </c>
      <c r="D2313" s="430"/>
      <c r="E2313" s="866"/>
      <c r="F2313" s="867"/>
      <c r="G2313" s="53">
        <v>169500</v>
      </c>
      <c r="H2313" s="685"/>
      <c r="I2313" s="673"/>
      <c r="J2313" s="151">
        <v>143644.07</v>
      </c>
    </row>
    <row r="2314" spans="1:10" s="7" customFormat="1" ht="36" customHeight="1" outlineLevel="1" x14ac:dyDescent="0.25">
      <c r="A2314" s="424"/>
      <c r="B2314" s="442" t="s">
        <v>1199</v>
      </c>
      <c r="C2314" s="140" t="s">
        <v>37</v>
      </c>
      <c r="D2314" s="430"/>
      <c r="E2314" s="866"/>
      <c r="F2314" s="867"/>
      <c r="G2314" s="53">
        <v>63000</v>
      </c>
      <c r="H2314" s="685"/>
      <c r="I2314" s="673"/>
      <c r="J2314" s="151">
        <v>53389.83</v>
      </c>
    </row>
    <row r="2315" spans="1:10" s="7" customFormat="1" ht="39" customHeight="1" outlineLevel="1" x14ac:dyDescent="0.25">
      <c r="A2315" s="424"/>
      <c r="B2315" s="442" t="s">
        <v>1200</v>
      </c>
      <c r="C2315" s="140" t="s">
        <v>37</v>
      </c>
      <c r="D2315" s="430"/>
      <c r="E2315" s="866"/>
      <c r="F2315" s="867"/>
      <c r="G2315" s="53">
        <v>82500</v>
      </c>
      <c r="H2315" s="685"/>
      <c r="I2315" s="673"/>
      <c r="J2315" s="151">
        <v>69915.25</v>
      </c>
    </row>
    <row r="2316" spans="1:10" s="7" customFormat="1" ht="34.5" customHeight="1" outlineLevel="1" x14ac:dyDescent="0.25">
      <c r="A2316" s="424"/>
      <c r="B2316" s="442" t="s">
        <v>1201</v>
      </c>
      <c r="C2316" s="140" t="s">
        <v>37</v>
      </c>
      <c r="D2316" s="430"/>
      <c r="E2316" s="866"/>
      <c r="F2316" s="867"/>
      <c r="G2316" s="53">
        <v>40000</v>
      </c>
      <c r="H2316" s="685"/>
      <c r="I2316" s="673"/>
      <c r="J2316" s="151">
        <v>33898.31</v>
      </c>
    </row>
    <row r="2317" spans="1:10" s="7" customFormat="1" ht="33.75" customHeight="1" outlineLevel="1" x14ac:dyDescent="0.25">
      <c r="A2317" s="424"/>
      <c r="B2317" s="442" t="s">
        <v>1202</v>
      </c>
      <c r="C2317" s="140" t="s">
        <v>37</v>
      </c>
      <c r="D2317" s="430"/>
      <c r="E2317" s="866"/>
      <c r="F2317" s="867"/>
      <c r="G2317" s="53">
        <v>161000</v>
      </c>
      <c r="H2317" s="685"/>
      <c r="I2317" s="673"/>
      <c r="J2317" s="151">
        <v>136440.68</v>
      </c>
    </row>
    <row r="2318" spans="1:10" s="7" customFormat="1" ht="36.75" customHeight="1" outlineLevel="1" x14ac:dyDescent="0.25">
      <c r="A2318" s="424"/>
      <c r="B2318" s="442" t="s">
        <v>1203</v>
      </c>
      <c r="C2318" s="140" t="s">
        <v>37</v>
      </c>
      <c r="D2318" s="430"/>
      <c r="E2318" s="866"/>
      <c r="F2318" s="867"/>
      <c r="G2318" s="53">
        <v>166500</v>
      </c>
      <c r="H2318" s="685"/>
      <c r="I2318" s="673"/>
      <c r="J2318" s="151">
        <v>141101.70000000001</v>
      </c>
    </row>
    <row r="2319" spans="1:10" s="7" customFormat="1" ht="34.5" customHeight="1" outlineLevel="1" x14ac:dyDescent="0.25">
      <c r="A2319" s="424"/>
      <c r="B2319" s="442" t="s">
        <v>1204</v>
      </c>
      <c r="C2319" s="140" t="s">
        <v>37</v>
      </c>
      <c r="D2319" s="430"/>
      <c r="E2319" s="866"/>
      <c r="F2319" s="867"/>
      <c r="G2319" s="53">
        <v>81500</v>
      </c>
      <c r="H2319" s="685"/>
      <c r="I2319" s="673"/>
      <c r="J2319" s="151">
        <v>69067.789999999994</v>
      </c>
    </row>
    <row r="2320" spans="1:10" s="7" customFormat="1" ht="36" customHeight="1" outlineLevel="1" x14ac:dyDescent="0.25">
      <c r="A2320" s="424"/>
      <c r="B2320" s="442" t="s">
        <v>1205</v>
      </c>
      <c r="C2320" s="140" t="s">
        <v>37</v>
      </c>
      <c r="D2320" s="430"/>
      <c r="E2320" s="866"/>
      <c r="F2320" s="867"/>
      <c r="G2320" s="53">
        <v>89500</v>
      </c>
      <c r="H2320" s="685"/>
      <c r="I2320" s="673"/>
      <c r="J2320" s="151">
        <v>75847.45</v>
      </c>
    </row>
    <row r="2321" spans="1:10" s="7" customFormat="1" ht="36.75" customHeight="1" outlineLevel="1" x14ac:dyDescent="0.25">
      <c r="A2321" s="424"/>
      <c r="B2321" s="442" t="s">
        <v>1206</v>
      </c>
      <c r="C2321" s="140" t="s">
        <v>37</v>
      </c>
      <c r="D2321" s="430"/>
      <c r="E2321" s="866"/>
      <c r="F2321" s="867"/>
      <c r="G2321" s="53">
        <v>93000</v>
      </c>
      <c r="H2321" s="685"/>
      <c r="I2321" s="673"/>
      <c r="J2321" s="151">
        <v>78813.56</v>
      </c>
    </row>
    <row r="2322" spans="1:10" s="7" customFormat="1" ht="34.5" customHeight="1" outlineLevel="1" x14ac:dyDescent="0.25">
      <c r="A2322" s="424"/>
      <c r="B2322" s="442" t="s">
        <v>1174</v>
      </c>
      <c r="C2322" s="140" t="s">
        <v>37</v>
      </c>
      <c r="D2322" s="430"/>
      <c r="E2322" s="866"/>
      <c r="F2322" s="867"/>
      <c r="G2322" s="53">
        <v>86500</v>
      </c>
      <c r="H2322" s="685"/>
      <c r="I2322" s="674"/>
      <c r="J2322" s="151">
        <v>73305.08</v>
      </c>
    </row>
    <row r="2323" spans="1:10" s="7" customFormat="1" ht="34.5" customHeight="1" outlineLevel="1" x14ac:dyDescent="0.25">
      <c r="A2323" s="424"/>
      <c r="B2323" s="443" t="s">
        <v>1177</v>
      </c>
      <c r="C2323" s="140" t="s">
        <v>37</v>
      </c>
      <c r="D2323" s="430"/>
      <c r="E2323" s="866" t="s">
        <v>1207</v>
      </c>
      <c r="F2323" s="867" t="s">
        <v>1208</v>
      </c>
      <c r="G2323" s="53">
        <v>78397.05</v>
      </c>
      <c r="H2323" s="685">
        <v>42795</v>
      </c>
      <c r="I2323" s="672">
        <v>42795</v>
      </c>
      <c r="J2323" s="151">
        <v>66438.17</v>
      </c>
    </row>
    <row r="2324" spans="1:10" s="7" customFormat="1" ht="34.5" customHeight="1" outlineLevel="1" x14ac:dyDescent="0.25">
      <c r="A2324" s="424"/>
      <c r="B2324" s="443" t="s">
        <v>1178</v>
      </c>
      <c r="C2324" s="140" t="s">
        <v>37</v>
      </c>
      <c r="D2324" s="430"/>
      <c r="E2324" s="866"/>
      <c r="F2324" s="867"/>
      <c r="G2324" s="53">
        <v>78981.259999999995</v>
      </c>
      <c r="H2324" s="685"/>
      <c r="I2324" s="673"/>
      <c r="J2324" s="151">
        <v>66933.27</v>
      </c>
    </row>
    <row r="2325" spans="1:10" s="7" customFormat="1" ht="34.5" customHeight="1" outlineLevel="1" x14ac:dyDescent="0.25">
      <c r="A2325" s="424"/>
      <c r="B2325" s="443" t="s">
        <v>1179</v>
      </c>
      <c r="C2325" s="140" t="s">
        <v>37</v>
      </c>
      <c r="D2325" s="430"/>
      <c r="E2325" s="866"/>
      <c r="F2325" s="867"/>
      <c r="G2325" s="53">
        <v>78290.97</v>
      </c>
      <c r="H2325" s="685"/>
      <c r="I2325" s="673"/>
      <c r="J2325" s="151">
        <v>66348.28</v>
      </c>
    </row>
    <row r="2326" spans="1:10" s="7" customFormat="1" ht="34.5" customHeight="1" outlineLevel="1" x14ac:dyDescent="0.25">
      <c r="A2326" s="424"/>
      <c r="B2326" s="443" t="s">
        <v>1180</v>
      </c>
      <c r="C2326" s="140" t="s">
        <v>37</v>
      </c>
      <c r="D2326" s="430"/>
      <c r="E2326" s="866"/>
      <c r="F2326" s="867"/>
      <c r="G2326" s="53">
        <v>78336.42</v>
      </c>
      <c r="H2326" s="685"/>
      <c r="I2326" s="673"/>
      <c r="J2326" s="151">
        <v>66386.8</v>
      </c>
    </row>
    <row r="2327" spans="1:10" s="7" customFormat="1" ht="34.5" customHeight="1" outlineLevel="1" x14ac:dyDescent="0.25">
      <c r="A2327" s="424"/>
      <c r="B2327" s="443" t="s">
        <v>1181</v>
      </c>
      <c r="C2327" s="140" t="s">
        <v>37</v>
      </c>
      <c r="D2327" s="430"/>
      <c r="E2327" s="866"/>
      <c r="F2327" s="867"/>
      <c r="G2327" s="53">
        <v>66744.02</v>
      </c>
      <c r="H2327" s="685"/>
      <c r="I2327" s="673"/>
      <c r="J2327" s="151">
        <v>56562.73</v>
      </c>
    </row>
    <row r="2328" spans="1:10" s="7" customFormat="1" ht="34.5" customHeight="1" outlineLevel="1" x14ac:dyDescent="0.25">
      <c r="A2328" s="424"/>
      <c r="B2328" s="443" t="s">
        <v>1182</v>
      </c>
      <c r="C2328" s="140" t="s">
        <v>37</v>
      </c>
      <c r="D2328" s="430"/>
      <c r="E2328" s="866"/>
      <c r="F2328" s="867"/>
      <c r="G2328" s="53">
        <v>77154.45</v>
      </c>
      <c r="H2328" s="685"/>
      <c r="I2328" s="673"/>
      <c r="J2328" s="151">
        <v>65385.13</v>
      </c>
    </row>
    <row r="2329" spans="1:10" s="7" customFormat="1" ht="34.5" customHeight="1" outlineLevel="1" x14ac:dyDescent="0.25">
      <c r="A2329" s="424"/>
      <c r="B2329" s="443" t="s">
        <v>1183</v>
      </c>
      <c r="C2329" s="140" t="s">
        <v>37</v>
      </c>
      <c r="D2329" s="430"/>
      <c r="E2329" s="866"/>
      <c r="F2329" s="867"/>
      <c r="G2329" s="53">
        <v>69153.429999999993</v>
      </c>
      <c r="H2329" s="685"/>
      <c r="I2329" s="673"/>
      <c r="J2329" s="151">
        <v>58604.6</v>
      </c>
    </row>
    <row r="2330" spans="1:10" s="7" customFormat="1" ht="34.5" customHeight="1" outlineLevel="1" x14ac:dyDescent="0.25">
      <c r="A2330" s="424"/>
      <c r="B2330" s="443" t="s">
        <v>1184</v>
      </c>
      <c r="C2330" s="140" t="s">
        <v>37</v>
      </c>
      <c r="D2330" s="430"/>
      <c r="E2330" s="866"/>
      <c r="F2330" s="867"/>
      <c r="G2330" s="53">
        <v>78290.97</v>
      </c>
      <c r="H2330" s="685"/>
      <c r="I2330" s="673"/>
      <c r="J2330" s="151">
        <v>66348.28</v>
      </c>
    </row>
    <row r="2331" spans="1:10" s="7" customFormat="1" ht="34.5" customHeight="1" outlineLevel="1" x14ac:dyDescent="0.25">
      <c r="A2331" s="424"/>
      <c r="B2331" s="443" t="s">
        <v>418</v>
      </c>
      <c r="C2331" s="140" t="s">
        <v>37</v>
      </c>
      <c r="D2331" s="430"/>
      <c r="E2331" s="866"/>
      <c r="F2331" s="867"/>
      <c r="G2331" s="53">
        <v>98704.43</v>
      </c>
      <c r="H2331" s="685"/>
      <c r="I2331" s="673"/>
      <c r="J2331" s="151">
        <v>83647.820000000007</v>
      </c>
    </row>
    <row r="2332" spans="1:10" s="7" customFormat="1" ht="34.5" customHeight="1" outlineLevel="1" x14ac:dyDescent="0.25">
      <c r="A2332" s="424"/>
      <c r="B2332" s="443" t="s">
        <v>1185</v>
      </c>
      <c r="C2332" s="140" t="s">
        <v>37</v>
      </c>
      <c r="D2332" s="430"/>
      <c r="E2332" s="866"/>
      <c r="F2332" s="867"/>
      <c r="G2332" s="53">
        <v>76627.19</v>
      </c>
      <c r="H2332" s="685"/>
      <c r="I2332" s="673"/>
      <c r="J2332" s="151">
        <v>64938.3</v>
      </c>
    </row>
    <row r="2333" spans="1:10" s="7" customFormat="1" ht="34.5" customHeight="1" outlineLevel="1" x14ac:dyDescent="0.25">
      <c r="A2333" s="424"/>
      <c r="B2333" s="443" t="s">
        <v>1186</v>
      </c>
      <c r="C2333" s="140" t="s">
        <v>37</v>
      </c>
      <c r="D2333" s="430"/>
      <c r="E2333" s="866"/>
      <c r="F2333" s="867"/>
      <c r="G2333" s="53">
        <v>79816.27</v>
      </c>
      <c r="H2333" s="685"/>
      <c r="I2333" s="673"/>
      <c r="J2333" s="151">
        <v>67640.91</v>
      </c>
    </row>
    <row r="2334" spans="1:10" s="7" customFormat="1" ht="34.5" customHeight="1" outlineLevel="1" x14ac:dyDescent="0.25">
      <c r="A2334" s="424"/>
      <c r="B2334" s="443" t="s">
        <v>1187</v>
      </c>
      <c r="C2334" s="140" t="s">
        <v>37</v>
      </c>
      <c r="D2334" s="430"/>
      <c r="E2334" s="866"/>
      <c r="F2334" s="867"/>
      <c r="G2334" s="53">
        <v>78033.350000000006</v>
      </c>
      <c r="H2334" s="685"/>
      <c r="I2334" s="673"/>
      <c r="J2334" s="151">
        <v>66129.960000000006</v>
      </c>
    </row>
    <row r="2335" spans="1:10" s="7" customFormat="1" ht="34.5" customHeight="1" outlineLevel="1" x14ac:dyDescent="0.25">
      <c r="A2335" s="424"/>
      <c r="B2335" s="443" t="s">
        <v>1188</v>
      </c>
      <c r="C2335" s="140" t="s">
        <v>37</v>
      </c>
      <c r="D2335" s="430"/>
      <c r="E2335" s="866"/>
      <c r="F2335" s="867"/>
      <c r="G2335" s="53">
        <v>78169.740000000005</v>
      </c>
      <c r="H2335" s="685"/>
      <c r="I2335" s="673"/>
      <c r="J2335" s="151">
        <v>66245.539999999994</v>
      </c>
    </row>
    <row r="2336" spans="1:10" s="7" customFormat="1" ht="34.5" customHeight="1" outlineLevel="1" x14ac:dyDescent="0.25">
      <c r="A2336" s="424"/>
      <c r="B2336" s="443" t="s">
        <v>1189</v>
      </c>
      <c r="C2336" s="140" t="s">
        <v>37</v>
      </c>
      <c r="D2336" s="430"/>
      <c r="E2336" s="866"/>
      <c r="F2336" s="867"/>
      <c r="G2336" s="53">
        <v>79414.850000000006</v>
      </c>
      <c r="H2336" s="685"/>
      <c r="I2336" s="673"/>
      <c r="J2336" s="151">
        <v>67300.72</v>
      </c>
    </row>
    <row r="2337" spans="1:10" s="7" customFormat="1" ht="34.5" customHeight="1" outlineLevel="1" x14ac:dyDescent="0.25">
      <c r="A2337" s="424"/>
      <c r="B2337" s="443" t="s">
        <v>1190</v>
      </c>
      <c r="C2337" s="140" t="s">
        <v>37</v>
      </c>
      <c r="D2337" s="430"/>
      <c r="E2337" s="866"/>
      <c r="F2337" s="867"/>
      <c r="G2337" s="53">
        <v>73638.84</v>
      </c>
      <c r="H2337" s="685"/>
      <c r="I2337" s="673"/>
      <c r="J2337" s="151">
        <v>62405.8</v>
      </c>
    </row>
    <row r="2338" spans="1:10" s="7" customFormat="1" ht="34.5" customHeight="1" outlineLevel="1" x14ac:dyDescent="0.25">
      <c r="A2338" s="424"/>
      <c r="B2338" s="443" t="s">
        <v>1209</v>
      </c>
      <c r="C2338" s="140" t="s">
        <v>37</v>
      </c>
      <c r="D2338" s="430"/>
      <c r="E2338" s="866"/>
      <c r="F2338" s="867"/>
      <c r="G2338" s="53">
        <v>84625.1</v>
      </c>
      <c r="H2338" s="685"/>
      <c r="I2338" s="673"/>
      <c r="J2338" s="151">
        <v>71716.19</v>
      </c>
    </row>
    <row r="2339" spans="1:10" s="7" customFormat="1" ht="34.5" customHeight="1" outlineLevel="1" x14ac:dyDescent="0.25">
      <c r="A2339" s="424"/>
      <c r="B2339" s="443" t="s">
        <v>1210</v>
      </c>
      <c r="C2339" s="140" t="s">
        <v>37</v>
      </c>
      <c r="D2339" s="430"/>
      <c r="E2339" s="866"/>
      <c r="F2339" s="867"/>
      <c r="G2339" s="53">
        <v>97987.93</v>
      </c>
      <c r="H2339" s="685"/>
      <c r="I2339" s="673"/>
      <c r="J2339" s="151">
        <v>83040.62</v>
      </c>
    </row>
    <row r="2340" spans="1:10" s="7" customFormat="1" ht="34.5" customHeight="1" outlineLevel="1" x14ac:dyDescent="0.25">
      <c r="A2340" s="424"/>
      <c r="B2340" s="443" t="s">
        <v>1211</v>
      </c>
      <c r="C2340" s="140" t="s">
        <v>37</v>
      </c>
      <c r="D2340" s="430"/>
      <c r="E2340" s="866"/>
      <c r="F2340" s="867"/>
      <c r="G2340" s="53">
        <v>99935.51</v>
      </c>
      <c r="H2340" s="685"/>
      <c r="I2340" s="673"/>
      <c r="J2340" s="151">
        <v>84691.11</v>
      </c>
    </row>
    <row r="2341" spans="1:10" s="7" customFormat="1" ht="34.5" customHeight="1" outlineLevel="1" x14ac:dyDescent="0.25">
      <c r="A2341" s="424"/>
      <c r="B2341" s="443" t="s">
        <v>1212</v>
      </c>
      <c r="C2341" s="140" t="s">
        <v>37</v>
      </c>
      <c r="D2341" s="430"/>
      <c r="E2341" s="866"/>
      <c r="F2341" s="867"/>
      <c r="G2341" s="53">
        <v>95895.7</v>
      </c>
      <c r="H2341" s="685"/>
      <c r="I2341" s="673"/>
      <c r="J2341" s="151">
        <v>81267.539999999994</v>
      </c>
    </row>
    <row r="2342" spans="1:10" s="7" customFormat="1" ht="34.5" customHeight="1" outlineLevel="1" x14ac:dyDescent="0.25">
      <c r="A2342" s="424"/>
      <c r="B2342" s="443" t="s">
        <v>1213</v>
      </c>
      <c r="C2342" s="140" t="s">
        <v>37</v>
      </c>
      <c r="D2342" s="430"/>
      <c r="E2342" s="866"/>
      <c r="F2342" s="867"/>
      <c r="G2342" s="53">
        <v>104489.55</v>
      </c>
      <c r="H2342" s="685"/>
      <c r="I2342" s="673"/>
      <c r="J2342" s="151">
        <v>88550.47</v>
      </c>
    </row>
    <row r="2343" spans="1:10" s="7" customFormat="1" ht="34.5" customHeight="1" outlineLevel="1" x14ac:dyDescent="0.25">
      <c r="A2343" s="424"/>
      <c r="B2343" s="443" t="s">
        <v>451</v>
      </c>
      <c r="C2343" s="140" t="s">
        <v>37</v>
      </c>
      <c r="D2343" s="430"/>
      <c r="E2343" s="866"/>
      <c r="F2343" s="867"/>
      <c r="G2343" s="53">
        <v>107050.34</v>
      </c>
      <c r="H2343" s="685"/>
      <c r="I2343" s="673"/>
      <c r="J2343" s="151">
        <v>90720.63</v>
      </c>
    </row>
    <row r="2344" spans="1:10" s="7" customFormat="1" ht="34.5" customHeight="1" outlineLevel="1" x14ac:dyDescent="0.25">
      <c r="A2344" s="424"/>
      <c r="B2344" s="443" t="s">
        <v>1214</v>
      </c>
      <c r="C2344" s="140" t="s">
        <v>37</v>
      </c>
      <c r="D2344" s="430"/>
      <c r="E2344" s="866"/>
      <c r="F2344" s="867"/>
      <c r="G2344" s="53">
        <v>105339.46</v>
      </c>
      <c r="H2344" s="685"/>
      <c r="I2344" s="673"/>
      <c r="J2344" s="151">
        <v>89270.73</v>
      </c>
    </row>
    <row r="2345" spans="1:10" s="7" customFormat="1" ht="34.5" customHeight="1" outlineLevel="1" x14ac:dyDescent="0.25">
      <c r="A2345" s="424"/>
      <c r="B2345" s="443" t="s">
        <v>1215</v>
      </c>
      <c r="C2345" s="140" t="s">
        <v>37</v>
      </c>
      <c r="D2345" s="430"/>
      <c r="E2345" s="866"/>
      <c r="F2345" s="867"/>
      <c r="G2345" s="53">
        <v>99446.92</v>
      </c>
      <c r="H2345" s="685"/>
      <c r="I2345" s="673"/>
      <c r="J2345" s="151">
        <v>84277.05</v>
      </c>
    </row>
    <row r="2346" spans="1:10" s="7" customFormat="1" ht="34.5" customHeight="1" outlineLevel="1" x14ac:dyDescent="0.25">
      <c r="A2346" s="424"/>
      <c r="B2346" s="443" t="s">
        <v>1216</v>
      </c>
      <c r="C2346" s="140" t="s">
        <v>37</v>
      </c>
      <c r="D2346" s="430"/>
      <c r="E2346" s="866"/>
      <c r="F2346" s="867"/>
      <c r="G2346" s="53">
        <v>92693.11</v>
      </c>
      <c r="H2346" s="685"/>
      <c r="I2346" s="673"/>
      <c r="J2346" s="151">
        <v>78553.48</v>
      </c>
    </row>
    <row r="2347" spans="1:10" s="7" customFormat="1" ht="34.5" customHeight="1" outlineLevel="1" x14ac:dyDescent="0.25">
      <c r="A2347" s="424"/>
      <c r="B2347" s="443" t="s">
        <v>1217</v>
      </c>
      <c r="C2347" s="140" t="s">
        <v>37</v>
      </c>
      <c r="D2347" s="430"/>
      <c r="E2347" s="866"/>
      <c r="F2347" s="867"/>
      <c r="G2347" s="53">
        <v>100033.36</v>
      </c>
      <c r="H2347" s="685"/>
      <c r="I2347" s="673"/>
      <c r="J2347" s="151">
        <v>84774.03</v>
      </c>
    </row>
    <row r="2348" spans="1:10" s="7" customFormat="1" ht="34.5" customHeight="1" outlineLevel="1" x14ac:dyDescent="0.25">
      <c r="A2348" s="424"/>
      <c r="B2348" s="443" t="s">
        <v>1218</v>
      </c>
      <c r="C2348" s="140" t="s">
        <v>37</v>
      </c>
      <c r="D2348" s="430"/>
      <c r="E2348" s="866"/>
      <c r="F2348" s="867"/>
      <c r="G2348" s="53">
        <v>95358.14</v>
      </c>
      <c r="H2348" s="685"/>
      <c r="I2348" s="673"/>
      <c r="J2348" s="151">
        <v>80811.98</v>
      </c>
    </row>
    <row r="2349" spans="1:10" s="7" customFormat="1" ht="34.5" customHeight="1" outlineLevel="1" x14ac:dyDescent="0.25">
      <c r="A2349" s="424"/>
      <c r="B2349" s="443" t="s">
        <v>1219</v>
      </c>
      <c r="C2349" s="140" t="s">
        <v>37</v>
      </c>
      <c r="D2349" s="430"/>
      <c r="E2349" s="866"/>
      <c r="F2349" s="867"/>
      <c r="G2349" s="53">
        <v>105749.18</v>
      </c>
      <c r="H2349" s="685"/>
      <c r="I2349" s="673"/>
      <c r="J2349" s="151">
        <v>89617.95</v>
      </c>
    </row>
    <row r="2350" spans="1:10" s="7" customFormat="1" ht="34.5" customHeight="1" outlineLevel="1" x14ac:dyDescent="0.25">
      <c r="A2350" s="424"/>
      <c r="B2350" s="443" t="s">
        <v>1220</v>
      </c>
      <c r="C2350" s="140" t="s">
        <v>37</v>
      </c>
      <c r="D2350" s="430"/>
      <c r="E2350" s="866"/>
      <c r="F2350" s="867"/>
      <c r="G2350" s="53">
        <v>102555.06</v>
      </c>
      <c r="H2350" s="685"/>
      <c r="I2350" s="673"/>
      <c r="J2350" s="151">
        <v>86911.06</v>
      </c>
    </row>
    <row r="2351" spans="1:10" s="7" customFormat="1" ht="34.5" customHeight="1" outlineLevel="1" x14ac:dyDescent="0.25">
      <c r="A2351" s="424"/>
      <c r="B2351" s="443" t="s">
        <v>1221</v>
      </c>
      <c r="C2351" s="140" t="s">
        <v>37</v>
      </c>
      <c r="D2351" s="430"/>
      <c r="E2351" s="866"/>
      <c r="F2351" s="867"/>
      <c r="G2351" s="53">
        <v>296165.71999999997</v>
      </c>
      <c r="H2351" s="685"/>
      <c r="I2351" s="673"/>
      <c r="J2351" s="151">
        <v>250987.9</v>
      </c>
    </row>
    <row r="2352" spans="1:10" s="7" customFormat="1" ht="34.5" customHeight="1" outlineLevel="1" x14ac:dyDescent="0.25">
      <c r="A2352" s="424"/>
      <c r="B2352" s="443" t="s">
        <v>1222</v>
      </c>
      <c r="C2352" s="140" t="s">
        <v>37</v>
      </c>
      <c r="D2352" s="430"/>
      <c r="E2352" s="866"/>
      <c r="F2352" s="867"/>
      <c r="G2352" s="53">
        <v>295107.93</v>
      </c>
      <c r="H2352" s="685"/>
      <c r="I2352" s="673"/>
      <c r="J2352" s="151">
        <v>250091.47</v>
      </c>
    </row>
    <row r="2353" spans="1:10" s="7" customFormat="1" ht="34.5" customHeight="1" outlineLevel="1" x14ac:dyDescent="0.25">
      <c r="A2353" s="424"/>
      <c r="B2353" s="443" t="s">
        <v>1223</v>
      </c>
      <c r="C2353" s="140" t="s">
        <v>37</v>
      </c>
      <c r="D2353" s="430"/>
      <c r="E2353" s="866"/>
      <c r="F2353" s="867"/>
      <c r="G2353" s="53">
        <v>101753.04</v>
      </c>
      <c r="H2353" s="685"/>
      <c r="I2353" s="673"/>
      <c r="J2353" s="151">
        <v>86231.39</v>
      </c>
    </row>
    <row r="2354" spans="1:10" s="7" customFormat="1" ht="34.5" customHeight="1" outlineLevel="1" x14ac:dyDescent="0.25">
      <c r="A2354" s="424"/>
      <c r="B2354" s="443" t="s">
        <v>1224</v>
      </c>
      <c r="C2354" s="140" t="s">
        <v>37</v>
      </c>
      <c r="D2354" s="430"/>
      <c r="E2354" s="866"/>
      <c r="F2354" s="867"/>
      <c r="G2354" s="53">
        <v>311776.49</v>
      </c>
      <c r="H2354" s="685"/>
      <c r="I2354" s="673"/>
      <c r="J2354" s="151">
        <v>264217.36</v>
      </c>
    </row>
    <row r="2355" spans="1:10" s="7" customFormat="1" ht="34.5" customHeight="1" outlineLevel="1" x14ac:dyDescent="0.25">
      <c r="A2355" s="424"/>
      <c r="B2355" s="443" t="s">
        <v>1225</v>
      </c>
      <c r="C2355" s="140" t="s">
        <v>37</v>
      </c>
      <c r="D2355" s="430"/>
      <c r="E2355" s="866"/>
      <c r="F2355" s="867"/>
      <c r="G2355" s="53">
        <v>198752.96</v>
      </c>
      <c r="H2355" s="685"/>
      <c r="I2355" s="673"/>
      <c r="J2355" s="151">
        <v>168434.7</v>
      </c>
    </row>
    <row r="2356" spans="1:10" s="7" customFormat="1" ht="34.5" customHeight="1" outlineLevel="1" x14ac:dyDescent="0.25">
      <c r="A2356" s="424"/>
      <c r="B2356" s="443" t="s">
        <v>1226</v>
      </c>
      <c r="C2356" s="140" t="s">
        <v>37</v>
      </c>
      <c r="D2356" s="430"/>
      <c r="E2356" s="866"/>
      <c r="F2356" s="867"/>
      <c r="G2356" s="53">
        <v>200586.8</v>
      </c>
      <c r="H2356" s="685"/>
      <c r="I2356" s="673"/>
      <c r="J2356" s="151">
        <v>169988.82</v>
      </c>
    </row>
    <row r="2357" spans="1:10" s="7" customFormat="1" ht="34.5" customHeight="1" outlineLevel="1" x14ac:dyDescent="0.25">
      <c r="A2357" s="424"/>
      <c r="B2357" s="443" t="s">
        <v>1227</v>
      </c>
      <c r="C2357" s="140" t="s">
        <v>37</v>
      </c>
      <c r="D2357" s="430"/>
      <c r="E2357" s="866"/>
      <c r="F2357" s="867"/>
      <c r="G2357" s="53">
        <v>100333.43</v>
      </c>
      <c r="H2357" s="685"/>
      <c r="I2357" s="674"/>
      <c r="J2357" s="151">
        <v>85028.34</v>
      </c>
    </row>
    <row r="2358" spans="1:10" s="7" customFormat="1" ht="34.5" customHeight="1" outlineLevel="1" x14ac:dyDescent="0.25">
      <c r="A2358" s="424"/>
      <c r="B2358" s="482" t="s">
        <v>1238</v>
      </c>
      <c r="C2358" s="152" t="s">
        <v>37</v>
      </c>
      <c r="D2358" s="440"/>
      <c r="E2358" s="866" t="s">
        <v>1236</v>
      </c>
      <c r="F2358" s="867" t="s">
        <v>537</v>
      </c>
      <c r="G2358" s="483">
        <v>110792.62</v>
      </c>
      <c r="H2358" s="685">
        <v>42724</v>
      </c>
      <c r="I2358" s="672">
        <v>42775</v>
      </c>
      <c r="J2358" s="151">
        <v>110792.62</v>
      </c>
    </row>
    <row r="2359" spans="1:10" s="7" customFormat="1" ht="34.5" customHeight="1" outlineLevel="1" x14ac:dyDescent="0.25">
      <c r="A2359" s="424"/>
      <c r="B2359" s="482" t="s">
        <v>1229</v>
      </c>
      <c r="C2359" s="152" t="s">
        <v>37</v>
      </c>
      <c r="D2359" s="440"/>
      <c r="E2359" s="866"/>
      <c r="F2359" s="867"/>
      <c r="G2359" s="483">
        <v>99641.02</v>
      </c>
      <c r="H2359" s="685"/>
      <c r="I2359" s="673"/>
      <c r="J2359" s="151">
        <v>99641.02</v>
      </c>
    </row>
    <row r="2360" spans="1:10" s="7" customFormat="1" ht="34.5" customHeight="1" outlineLevel="1" x14ac:dyDescent="0.25">
      <c r="A2360" s="424"/>
      <c r="B2360" s="482" t="s">
        <v>1230</v>
      </c>
      <c r="C2360" s="152" t="s">
        <v>37</v>
      </c>
      <c r="D2360" s="440"/>
      <c r="E2360" s="866"/>
      <c r="F2360" s="867"/>
      <c r="G2360" s="483">
        <v>109340.69</v>
      </c>
      <c r="H2360" s="685"/>
      <c r="I2360" s="673"/>
      <c r="J2360" s="151">
        <v>109340.69</v>
      </c>
    </row>
    <row r="2361" spans="1:10" s="7" customFormat="1" ht="34.5" customHeight="1" outlineLevel="1" x14ac:dyDescent="0.25">
      <c r="A2361" s="424"/>
      <c r="B2361" s="482" t="s">
        <v>1231</v>
      </c>
      <c r="C2361" s="152" t="s">
        <v>37</v>
      </c>
      <c r="D2361" s="440"/>
      <c r="E2361" s="866"/>
      <c r="F2361" s="867"/>
      <c r="G2361" s="483">
        <v>92913.4</v>
      </c>
      <c r="H2361" s="685"/>
      <c r="I2361" s="673"/>
      <c r="J2361" s="151">
        <v>92913.4</v>
      </c>
    </row>
    <row r="2362" spans="1:10" s="7" customFormat="1" ht="34.5" customHeight="1" outlineLevel="1" x14ac:dyDescent="0.25">
      <c r="A2362" s="424"/>
      <c r="B2362" s="482" t="s">
        <v>1232</v>
      </c>
      <c r="C2362" s="152" t="s">
        <v>37</v>
      </c>
      <c r="D2362" s="440"/>
      <c r="E2362" s="866"/>
      <c r="F2362" s="867"/>
      <c r="G2362" s="483">
        <v>93246.31</v>
      </c>
      <c r="H2362" s="685"/>
      <c r="I2362" s="673"/>
      <c r="J2362" s="151">
        <v>93246.31</v>
      </c>
    </row>
    <row r="2363" spans="1:10" s="7" customFormat="1" ht="34.5" customHeight="1" outlineLevel="1" x14ac:dyDescent="0.25">
      <c r="A2363" s="424"/>
      <c r="B2363" s="482" t="s">
        <v>1233</v>
      </c>
      <c r="C2363" s="152" t="s">
        <v>37</v>
      </c>
      <c r="D2363" s="440"/>
      <c r="E2363" s="866"/>
      <c r="F2363" s="867"/>
      <c r="G2363" s="483">
        <v>124567.82</v>
      </c>
      <c r="H2363" s="685"/>
      <c r="I2363" s="673"/>
      <c r="J2363" s="151">
        <v>124567.82</v>
      </c>
    </row>
    <row r="2364" spans="1:10" s="7" customFormat="1" ht="34.5" customHeight="1" outlineLevel="1" x14ac:dyDescent="0.25">
      <c r="A2364" s="424"/>
      <c r="B2364" s="482" t="s">
        <v>1234</v>
      </c>
      <c r="C2364" s="152" t="s">
        <v>37</v>
      </c>
      <c r="D2364" s="440"/>
      <c r="E2364" s="866"/>
      <c r="F2364" s="867"/>
      <c r="G2364" s="483">
        <v>123362.07</v>
      </c>
      <c r="H2364" s="685"/>
      <c r="I2364" s="673"/>
      <c r="J2364" s="151">
        <v>123362.07</v>
      </c>
    </row>
    <row r="2365" spans="1:10" s="7" customFormat="1" ht="34.5" customHeight="1" outlineLevel="1" x14ac:dyDescent="0.25">
      <c r="A2365" s="424"/>
      <c r="B2365" s="482" t="s">
        <v>1235</v>
      </c>
      <c r="C2365" s="152" t="s">
        <v>37</v>
      </c>
      <c r="D2365" s="440"/>
      <c r="E2365" s="866"/>
      <c r="F2365" s="867"/>
      <c r="G2365" s="483">
        <v>110034.48</v>
      </c>
      <c r="H2365" s="685"/>
      <c r="I2365" s="674"/>
      <c r="J2365" s="151">
        <v>110034.48</v>
      </c>
    </row>
    <row r="2366" spans="1:10" s="7" customFormat="1" ht="34.5" customHeight="1" outlineLevel="1" x14ac:dyDescent="0.25">
      <c r="A2366" s="424"/>
      <c r="B2366" s="443" t="s">
        <v>1239</v>
      </c>
      <c r="C2366" s="140" t="s">
        <v>37</v>
      </c>
      <c r="D2366" s="430"/>
      <c r="E2366" s="866" t="s">
        <v>1331</v>
      </c>
      <c r="F2366" s="867" t="s">
        <v>1237</v>
      </c>
      <c r="G2366" s="314">
        <v>97068.37</v>
      </c>
      <c r="H2366" s="685">
        <v>42801</v>
      </c>
      <c r="I2366" s="672">
        <v>42851</v>
      </c>
      <c r="J2366" s="151">
        <v>82261.33</v>
      </c>
    </row>
    <row r="2367" spans="1:10" s="7" customFormat="1" ht="34.5" customHeight="1" outlineLevel="1" x14ac:dyDescent="0.25">
      <c r="A2367" s="424"/>
      <c r="B2367" s="443" t="s">
        <v>1240</v>
      </c>
      <c r="C2367" s="140" t="s">
        <v>37</v>
      </c>
      <c r="D2367" s="430"/>
      <c r="E2367" s="866"/>
      <c r="F2367" s="867"/>
      <c r="G2367" s="314">
        <v>579334.03</v>
      </c>
      <c r="H2367" s="685"/>
      <c r="I2367" s="673"/>
      <c r="J2367" s="151">
        <v>409791.37</v>
      </c>
    </row>
    <row r="2368" spans="1:10" s="7" customFormat="1" ht="34.5" customHeight="1" outlineLevel="1" x14ac:dyDescent="0.25">
      <c r="A2368" s="424"/>
      <c r="B2368" s="443" t="s">
        <v>1241</v>
      </c>
      <c r="C2368" s="140" t="s">
        <v>37</v>
      </c>
      <c r="D2368" s="430"/>
      <c r="E2368" s="866"/>
      <c r="F2368" s="867"/>
      <c r="G2368" s="314">
        <v>98801.09</v>
      </c>
      <c r="H2368" s="685"/>
      <c r="I2368" s="673"/>
      <c r="J2368" s="151">
        <v>83729.740000000005</v>
      </c>
    </row>
    <row r="2369" spans="1:10" s="7" customFormat="1" ht="34.5" customHeight="1" outlineLevel="1" x14ac:dyDescent="0.25">
      <c r="A2369" s="424"/>
      <c r="B2369" s="443" t="s">
        <v>1242</v>
      </c>
      <c r="C2369" s="140" t="s">
        <v>37</v>
      </c>
      <c r="D2369" s="430"/>
      <c r="E2369" s="866"/>
      <c r="F2369" s="867"/>
      <c r="G2369" s="314">
        <v>170804.83</v>
      </c>
      <c r="H2369" s="685"/>
      <c r="I2369" s="673"/>
      <c r="J2369" s="151">
        <v>144749.85999999999</v>
      </c>
    </row>
    <row r="2370" spans="1:10" s="7" customFormat="1" ht="34.5" customHeight="1" outlineLevel="1" x14ac:dyDescent="0.25">
      <c r="A2370" s="424"/>
      <c r="B2370" s="443" t="s">
        <v>1243</v>
      </c>
      <c r="C2370" s="140" t="s">
        <v>37</v>
      </c>
      <c r="D2370" s="430"/>
      <c r="E2370" s="866"/>
      <c r="F2370" s="867"/>
      <c r="G2370" s="314">
        <v>249239.62</v>
      </c>
      <c r="H2370" s="685"/>
      <c r="I2370" s="673"/>
      <c r="J2370" s="151">
        <v>211220.02</v>
      </c>
    </row>
    <row r="2371" spans="1:10" s="7" customFormat="1" ht="34.5" customHeight="1" outlineLevel="1" x14ac:dyDescent="0.25">
      <c r="A2371" s="424"/>
      <c r="B2371" s="443" t="s">
        <v>1244</v>
      </c>
      <c r="C2371" s="140" t="s">
        <v>37</v>
      </c>
      <c r="D2371" s="430"/>
      <c r="E2371" s="866"/>
      <c r="F2371" s="867"/>
      <c r="G2371" s="314">
        <v>216496.37</v>
      </c>
      <c r="H2371" s="685"/>
      <c r="I2371" s="673"/>
      <c r="J2371" s="151">
        <v>183471.49</v>
      </c>
    </row>
    <row r="2372" spans="1:10" s="7" customFormat="1" ht="34.5" customHeight="1" outlineLevel="1" x14ac:dyDescent="0.25">
      <c r="A2372" s="424"/>
      <c r="B2372" s="443" t="s">
        <v>450</v>
      </c>
      <c r="C2372" s="140" t="s">
        <v>37</v>
      </c>
      <c r="D2372" s="430"/>
      <c r="E2372" s="866"/>
      <c r="F2372" s="867"/>
      <c r="G2372" s="314">
        <v>289088.96999999997</v>
      </c>
      <c r="H2372" s="685"/>
      <c r="I2372" s="673"/>
      <c r="J2372" s="151">
        <v>244990.64</v>
      </c>
    </row>
    <row r="2373" spans="1:10" s="7" customFormat="1" ht="34.5" customHeight="1" outlineLevel="1" x14ac:dyDescent="0.25">
      <c r="A2373" s="424"/>
      <c r="B2373" s="443" t="s">
        <v>1245</v>
      </c>
      <c r="C2373" s="140" t="s">
        <v>37</v>
      </c>
      <c r="D2373" s="430"/>
      <c r="E2373" s="866"/>
      <c r="F2373" s="867"/>
      <c r="G2373" s="314">
        <v>298842.26</v>
      </c>
      <c r="H2373" s="685"/>
      <c r="I2373" s="673"/>
      <c r="J2373" s="151">
        <v>253256.16</v>
      </c>
    </row>
    <row r="2374" spans="1:10" s="7" customFormat="1" ht="34.5" customHeight="1" outlineLevel="1" x14ac:dyDescent="0.25">
      <c r="A2374" s="424"/>
      <c r="B2374" s="443" t="s">
        <v>1246</v>
      </c>
      <c r="C2374" s="140" t="s">
        <v>37</v>
      </c>
      <c r="D2374" s="430"/>
      <c r="E2374" s="866"/>
      <c r="F2374" s="867"/>
      <c r="G2374" s="314">
        <v>287831.93</v>
      </c>
      <c r="H2374" s="685"/>
      <c r="I2374" s="673"/>
      <c r="J2374" s="151">
        <v>243925.36</v>
      </c>
    </row>
    <row r="2375" spans="1:10" s="7" customFormat="1" ht="34.5" customHeight="1" outlineLevel="1" x14ac:dyDescent="0.25">
      <c r="A2375" s="424"/>
      <c r="B2375" s="443" t="s">
        <v>1247</v>
      </c>
      <c r="C2375" s="140" t="s">
        <v>37</v>
      </c>
      <c r="D2375" s="430"/>
      <c r="E2375" s="866"/>
      <c r="F2375" s="867"/>
      <c r="G2375" s="314">
        <v>261241.31</v>
      </c>
      <c r="H2375" s="685"/>
      <c r="I2375" s="673"/>
      <c r="J2375" s="151">
        <v>221390.94</v>
      </c>
    </row>
    <row r="2376" spans="1:10" s="7" customFormat="1" ht="34.5" customHeight="1" outlineLevel="1" x14ac:dyDescent="0.25">
      <c r="A2376" s="424"/>
      <c r="B2376" s="443" t="s">
        <v>458</v>
      </c>
      <c r="C2376" s="140" t="s">
        <v>37</v>
      </c>
      <c r="D2376" s="430"/>
      <c r="E2376" s="866"/>
      <c r="F2376" s="867"/>
      <c r="G2376" s="314">
        <v>147946.76</v>
      </c>
      <c r="H2376" s="685"/>
      <c r="I2376" s="673"/>
      <c r="J2376" s="151">
        <v>125378.61</v>
      </c>
    </row>
    <row r="2377" spans="1:10" s="7" customFormat="1" ht="34.5" customHeight="1" outlineLevel="1" x14ac:dyDescent="0.25">
      <c r="A2377" s="424"/>
      <c r="B2377" s="443" t="s">
        <v>1248</v>
      </c>
      <c r="C2377" s="140" t="s">
        <v>37</v>
      </c>
      <c r="D2377" s="430"/>
      <c r="E2377" s="866"/>
      <c r="F2377" s="867"/>
      <c r="G2377" s="314">
        <v>287288.2</v>
      </c>
      <c r="H2377" s="685"/>
      <c r="I2377" s="673"/>
      <c r="J2377" s="151">
        <v>243464.58</v>
      </c>
    </row>
    <row r="2378" spans="1:10" s="7" customFormat="1" ht="34.5" customHeight="1" outlineLevel="1" x14ac:dyDescent="0.25">
      <c r="A2378" s="424"/>
      <c r="B2378" s="443" t="s">
        <v>1249</v>
      </c>
      <c r="C2378" s="140" t="s">
        <v>37</v>
      </c>
      <c r="D2378" s="430"/>
      <c r="E2378" s="866"/>
      <c r="F2378" s="867"/>
      <c r="G2378" s="314">
        <v>282392.7</v>
      </c>
      <c r="H2378" s="685"/>
      <c r="I2378" s="673"/>
      <c r="J2378" s="151">
        <v>239315.84</v>
      </c>
    </row>
    <row r="2379" spans="1:10" s="7" customFormat="1" ht="34.5" customHeight="1" outlineLevel="1" x14ac:dyDescent="0.25">
      <c r="A2379" s="424"/>
      <c r="B2379" s="443" t="s">
        <v>1250</v>
      </c>
      <c r="C2379" s="140" t="s">
        <v>37</v>
      </c>
      <c r="D2379" s="430"/>
      <c r="E2379" s="866"/>
      <c r="F2379" s="867"/>
      <c r="G2379" s="314">
        <v>368244.45</v>
      </c>
      <c r="H2379" s="685"/>
      <c r="I2379" s="673"/>
      <c r="J2379" s="151">
        <v>312071.57</v>
      </c>
    </row>
    <row r="2380" spans="1:10" s="7" customFormat="1" ht="34.5" customHeight="1" outlineLevel="1" x14ac:dyDescent="0.25">
      <c r="A2380" s="424"/>
      <c r="B2380" s="443" t="s">
        <v>1251</v>
      </c>
      <c r="C2380" s="140" t="s">
        <v>37</v>
      </c>
      <c r="D2380" s="430"/>
      <c r="E2380" s="866"/>
      <c r="F2380" s="867"/>
      <c r="G2380" s="314">
        <v>473908.18</v>
      </c>
      <c r="H2380" s="685"/>
      <c r="I2380" s="673"/>
      <c r="J2380" s="151">
        <v>401617.1</v>
      </c>
    </row>
    <row r="2381" spans="1:10" s="7" customFormat="1" ht="34.5" customHeight="1" outlineLevel="1" x14ac:dyDescent="0.25">
      <c r="A2381" s="424"/>
      <c r="B2381" s="443" t="s">
        <v>1252</v>
      </c>
      <c r="C2381" s="140" t="s">
        <v>37</v>
      </c>
      <c r="D2381" s="430"/>
      <c r="E2381" s="866"/>
      <c r="F2381" s="867"/>
      <c r="G2381" s="314">
        <v>292141.39</v>
      </c>
      <c r="H2381" s="685"/>
      <c r="I2381" s="673"/>
      <c r="J2381" s="151">
        <v>247577.45</v>
      </c>
    </row>
    <row r="2382" spans="1:10" s="7" customFormat="1" ht="34.5" customHeight="1" outlineLevel="1" x14ac:dyDescent="0.25">
      <c r="A2382" s="424"/>
      <c r="B2382" s="443" t="s">
        <v>1253</v>
      </c>
      <c r="C2382" s="140" t="s">
        <v>37</v>
      </c>
      <c r="D2382" s="430"/>
      <c r="E2382" s="866"/>
      <c r="F2382" s="867"/>
      <c r="G2382" s="314">
        <v>294690.01</v>
      </c>
      <c r="H2382" s="685"/>
      <c r="I2382" s="674"/>
      <c r="J2382" s="151">
        <v>249737.3</v>
      </c>
    </row>
    <row r="2383" spans="1:10" s="7" customFormat="1" ht="34.5" customHeight="1" outlineLevel="1" x14ac:dyDescent="0.25">
      <c r="A2383" s="424"/>
      <c r="B2383" s="443" t="s">
        <v>1254</v>
      </c>
      <c r="C2383" s="152" t="s">
        <v>37</v>
      </c>
      <c r="D2383" s="440"/>
      <c r="E2383" s="696" t="s">
        <v>1260</v>
      </c>
      <c r="F2383" s="699" t="s">
        <v>1208</v>
      </c>
      <c r="G2383" s="483">
        <v>126561.3</v>
      </c>
      <c r="H2383" s="880">
        <v>42801</v>
      </c>
      <c r="I2383" s="702">
        <v>42837</v>
      </c>
      <c r="J2383" s="151">
        <v>107255.33</v>
      </c>
    </row>
    <row r="2384" spans="1:10" s="7" customFormat="1" ht="34.5" customHeight="1" outlineLevel="1" x14ac:dyDescent="0.25">
      <c r="A2384" s="424"/>
      <c r="B2384" s="443" t="s">
        <v>1255</v>
      </c>
      <c r="C2384" s="152" t="s">
        <v>37</v>
      </c>
      <c r="D2384" s="440"/>
      <c r="E2384" s="697"/>
      <c r="F2384" s="700"/>
      <c r="G2384" s="483">
        <v>218699.37</v>
      </c>
      <c r="H2384" s="880"/>
      <c r="I2384" s="703"/>
      <c r="J2384" s="151">
        <v>185338.45</v>
      </c>
    </row>
    <row r="2385" spans="1:10" s="7" customFormat="1" ht="34.5" customHeight="1" outlineLevel="1" x14ac:dyDescent="0.25">
      <c r="A2385" s="424"/>
      <c r="B2385" s="443" t="s">
        <v>1256</v>
      </c>
      <c r="C2385" s="152" t="s">
        <v>37</v>
      </c>
      <c r="D2385" s="440"/>
      <c r="E2385" s="697"/>
      <c r="F2385" s="700"/>
      <c r="G2385" s="483">
        <v>224369.78</v>
      </c>
      <c r="H2385" s="880"/>
      <c r="I2385" s="703"/>
      <c r="J2385" s="151">
        <v>190143.88</v>
      </c>
    </row>
    <row r="2386" spans="1:10" s="7" customFormat="1" ht="34.5" customHeight="1" outlineLevel="1" x14ac:dyDescent="0.25">
      <c r="A2386" s="424"/>
      <c r="B2386" s="443" t="s">
        <v>1257</v>
      </c>
      <c r="C2386" s="152" t="s">
        <v>37</v>
      </c>
      <c r="D2386" s="440"/>
      <c r="E2386" s="697"/>
      <c r="F2386" s="700"/>
      <c r="G2386" s="483">
        <v>122812.54</v>
      </c>
      <c r="H2386" s="880"/>
      <c r="I2386" s="703"/>
      <c r="J2386" s="151">
        <v>104078.43</v>
      </c>
    </row>
    <row r="2387" spans="1:10" s="7" customFormat="1" ht="34.5" customHeight="1" outlineLevel="1" x14ac:dyDescent="0.25">
      <c r="A2387" s="424"/>
      <c r="B2387" s="443" t="s">
        <v>1258</v>
      </c>
      <c r="C2387" s="152" t="s">
        <v>37</v>
      </c>
      <c r="D2387" s="440"/>
      <c r="E2387" s="697"/>
      <c r="F2387" s="700"/>
      <c r="G2387" s="483">
        <v>214048.09</v>
      </c>
      <c r="H2387" s="880"/>
      <c r="I2387" s="703"/>
      <c r="J2387" s="151">
        <v>181396.69</v>
      </c>
    </row>
    <row r="2388" spans="1:10" s="7" customFormat="1" ht="34.5" customHeight="1" outlineLevel="1" x14ac:dyDescent="0.25">
      <c r="A2388" s="424"/>
      <c r="B2388" s="443" t="s">
        <v>1259</v>
      </c>
      <c r="C2388" s="152" t="s">
        <v>37</v>
      </c>
      <c r="D2388" s="440"/>
      <c r="E2388" s="697"/>
      <c r="F2388" s="700"/>
      <c r="G2388" s="483">
        <v>66303.42</v>
      </c>
      <c r="H2388" s="880"/>
      <c r="I2388" s="703"/>
      <c r="J2388" s="151">
        <v>56189.34</v>
      </c>
    </row>
    <row r="2389" spans="1:10" s="7" customFormat="1" ht="34.5" customHeight="1" outlineLevel="1" x14ac:dyDescent="0.25">
      <c r="A2389" s="424"/>
      <c r="B2389" s="443" t="s">
        <v>1261</v>
      </c>
      <c r="C2389" s="152" t="s">
        <v>37</v>
      </c>
      <c r="D2389" s="440"/>
      <c r="E2389" s="697"/>
      <c r="F2389" s="700"/>
      <c r="G2389" s="483">
        <v>369705.71</v>
      </c>
      <c r="H2389" s="880"/>
      <c r="I2389" s="703"/>
      <c r="J2389" s="151">
        <v>313309.94</v>
      </c>
    </row>
    <row r="2390" spans="1:10" s="7" customFormat="1" ht="34.5" customHeight="1" outlineLevel="1" x14ac:dyDescent="0.25">
      <c r="A2390" s="424"/>
      <c r="B2390" s="443" t="s">
        <v>1262</v>
      </c>
      <c r="C2390" s="152" t="s">
        <v>37</v>
      </c>
      <c r="D2390" s="440"/>
      <c r="E2390" s="697"/>
      <c r="F2390" s="700"/>
      <c r="G2390" s="483">
        <v>390602.65</v>
      </c>
      <c r="H2390" s="880"/>
      <c r="I2390" s="703"/>
      <c r="J2390" s="151">
        <v>331019.2</v>
      </c>
    </row>
    <row r="2391" spans="1:10" s="7" customFormat="1" ht="34.5" customHeight="1" outlineLevel="1" x14ac:dyDescent="0.25">
      <c r="A2391" s="424"/>
      <c r="B2391" s="443" t="s">
        <v>1263</v>
      </c>
      <c r="C2391" s="152" t="s">
        <v>37</v>
      </c>
      <c r="D2391" s="440"/>
      <c r="E2391" s="697"/>
      <c r="F2391" s="700"/>
      <c r="G2391" s="483">
        <v>301570.8</v>
      </c>
      <c r="H2391" s="880"/>
      <c r="I2391" s="703"/>
      <c r="J2391" s="151">
        <v>255568.47</v>
      </c>
    </row>
    <row r="2392" spans="1:10" s="7" customFormat="1" ht="34.5" customHeight="1" outlineLevel="1" x14ac:dyDescent="0.25">
      <c r="A2392" s="424"/>
      <c r="B2392" s="443" t="s">
        <v>1264</v>
      </c>
      <c r="C2392" s="152" t="s">
        <v>37</v>
      </c>
      <c r="D2392" s="440"/>
      <c r="E2392" s="697"/>
      <c r="F2392" s="700"/>
      <c r="G2392" s="483">
        <v>175420.25</v>
      </c>
      <c r="H2392" s="880"/>
      <c r="I2392" s="703"/>
      <c r="J2392" s="151">
        <v>148661.23000000001</v>
      </c>
    </row>
    <row r="2393" spans="1:10" s="7" customFormat="1" ht="34.5" customHeight="1" outlineLevel="1" x14ac:dyDescent="0.25">
      <c r="A2393" s="424"/>
      <c r="B2393" s="443" t="s">
        <v>1265</v>
      </c>
      <c r="C2393" s="152" t="s">
        <v>37</v>
      </c>
      <c r="D2393" s="440"/>
      <c r="E2393" s="697"/>
      <c r="F2393" s="700"/>
      <c r="G2393" s="483">
        <v>230492.76</v>
      </c>
      <c r="H2393" s="880"/>
      <c r="I2393" s="703"/>
      <c r="J2393" s="151">
        <v>195332.86</v>
      </c>
    </row>
    <row r="2394" spans="1:10" s="7" customFormat="1" ht="34.5" customHeight="1" outlineLevel="1" x14ac:dyDescent="0.25">
      <c r="A2394" s="424"/>
      <c r="B2394" s="443" t="s">
        <v>1266</v>
      </c>
      <c r="C2394" s="152" t="s">
        <v>37</v>
      </c>
      <c r="D2394" s="440"/>
      <c r="E2394" s="697"/>
      <c r="F2394" s="700"/>
      <c r="G2394" s="483">
        <v>302974.96000000002</v>
      </c>
      <c r="H2394" s="880"/>
      <c r="I2394" s="703"/>
      <c r="J2394" s="151">
        <v>256758.45</v>
      </c>
    </row>
    <row r="2395" spans="1:10" s="7" customFormat="1" ht="34.5" customHeight="1" outlineLevel="1" x14ac:dyDescent="0.25">
      <c r="A2395" s="424"/>
      <c r="B2395" s="443" t="s">
        <v>1267</v>
      </c>
      <c r="C2395" s="152" t="s">
        <v>37</v>
      </c>
      <c r="D2395" s="440"/>
      <c r="E2395" s="697"/>
      <c r="F2395" s="700"/>
      <c r="G2395" s="483">
        <v>193850.05</v>
      </c>
      <c r="H2395" s="880"/>
      <c r="I2395" s="703"/>
      <c r="J2395" s="151">
        <v>164279.69</v>
      </c>
    </row>
    <row r="2396" spans="1:10" s="7" customFormat="1" ht="34.5" customHeight="1" outlineLevel="1" x14ac:dyDescent="0.25">
      <c r="A2396" s="424"/>
      <c r="B2396" s="443" t="s">
        <v>1268</v>
      </c>
      <c r="C2396" s="152" t="s">
        <v>37</v>
      </c>
      <c r="D2396" s="440"/>
      <c r="E2396" s="697"/>
      <c r="F2396" s="700"/>
      <c r="G2396" s="483">
        <v>400534.55</v>
      </c>
      <c r="H2396" s="880"/>
      <c r="I2396" s="703"/>
      <c r="J2396" s="151">
        <v>339436.06</v>
      </c>
    </row>
    <row r="2397" spans="1:10" s="7" customFormat="1" ht="34.5" customHeight="1" outlineLevel="1" x14ac:dyDescent="0.25">
      <c r="A2397" s="424"/>
      <c r="B2397" s="443" t="s">
        <v>1269</v>
      </c>
      <c r="C2397" s="152" t="s">
        <v>37</v>
      </c>
      <c r="D2397" s="440"/>
      <c r="E2397" s="697"/>
      <c r="F2397" s="700"/>
      <c r="G2397" s="483">
        <v>177467.29</v>
      </c>
      <c r="H2397" s="880"/>
      <c r="I2397" s="703"/>
      <c r="J2397" s="151">
        <v>150396.01</v>
      </c>
    </row>
    <row r="2398" spans="1:10" s="7" customFormat="1" ht="34.5" customHeight="1" outlineLevel="1" x14ac:dyDescent="0.25">
      <c r="A2398" s="424"/>
      <c r="B2398" s="519" t="s">
        <v>421</v>
      </c>
      <c r="C2398" s="152" t="s">
        <v>37</v>
      </c>
      <c r="D2398" s="440"/>
      <c r="E2398" s="697"/>
      <c r="F2398" s="700"/>
      <c r="G2398" s="483">
        <v>326484.61</v>
      </c>
      <c r="H2398" s="880"/>
      <c r="I2398" s="703"/>
      <c r="J2398" s="151">
        <v>276681.88</v>
      </c>
    </row>
    <row r="2399" spans="1:10" s="7" customFormat="1" ht="34.5" customHeight="1" outlineLevel="1" x14ac:dyDescent="0.25">
      <c r="A2399" s="424"/>
      <c r="B2399" s="443" t="s">
        <v>1270</v>
      </c>
      <c r="C2399" s="152" t="s">
        <v>37</v>
      </c>
      <c r="D2399" s="440"/>
      <c r="E2399" s="697"/>
      <c r="F2399" s="700"/>
      <c r="G2399" s="483">
        <v>466473.62</v>
      </c>
      <c r="H2399" s="880"/>
      <c r="I2399" s="703"/>
      <c r="J2399" s="151">
        <v>395316.62</v>
      </c>
    </row>
    <row r="2400" spans="1:10" s="7" customFormat="1" ht="34.5" customHeight="1" outlineLevel="1" x14ac:dyDescent="0.25">
      <c r="A2400" s="424"/>
      <c r="B2400" s="443" t="s">
        <v>1271</v>
      </c>
      <c r="C2400" s="152" t="s">
        <v>37</v>
      </c>
      <c r="D2400" s="440"/>
      <c r="E2400" s="697"/>
      <c r="F2400" s="700"/>
      <c r="G2400" s="483">
        <v>247472.09</v>
      </c>
      <c r="H2400" s="880"/>
      <c r="I2400" s="703"/>
      <c r="J2400" s="151">
        <v>209722.11</v>
      </c>
    </row>
    <row r="2401" spans="1:10" s="7" customFormat="1" ht="34.5" customHeight="1" outlineLevel="1" x14ac:dyDescent="0.25">
      <c r="A2401" s="424"/>
      <c r="B2401" s="443" t="s">
        <v>1272</v>
      </c>
      <c r="C2401" s="152" t="s">
        <v>37</v>
      </c>
      <c r="D2401" s="440"/>
      <c r="E2401" s="698"/>
      <c r="F2401" s="701"/>
      <c r="G2401" s="483">
        <v>94131.8</v>
      </c>
      <c r="H2401" s="880"/>
      <c r="I2401" s="704"/>
      <c r="J2401" s="151">
        <v>79772.710000000006</v>
      </c>
    </row>
    <row r="2402" spans="1:10" s="5" customFormat="1" ht="16.5" x14ac:dyDescent="0.25">
      <c r="A2402" s="793" t="s">
        <v>629</v>
      </c>
      <c r="B2402" s="793"/>
      <c r="C2402" s="444"/>
      <c r="D2402" s="346">
        <f>SUM(D2302,D2296,D2293,D2290,D2287,D2283,D2280,D2275,D2272,D2266,D2263,D2259,D2255,D2252,D2249,D2246,D2243,D2239,D2236,D2232,D2228,D2225,D2222,D2219,D2216,D2210,D2203,D2197,D2193,D2190,D2187,D2184,D2181,D2178,D2175,D2172,D2168,D2164,D2161,D2158,D2153,D2150,D2146,D2143,D2140,D2137,D2134,D2131,D2128,D2121,D2117,D2114,D2111,D2108,D2104,D2098,D2095,D2092,D2089,D2086,D2083,D2080,D2077,D2073,D2069,D2067,D2064,D2061,D2058,D2055,D2052,D2048,D2044,D2041,D2038,D2033,D2029,D2025,D2022,D2019,D2011,D2008,D2005,D2000,D1997,D1992,D1987,D1984,D1981,D1977,D1974,D1971,D1968,D1964,D1961,D1958,D1954,D1950,D1946,D1942,D1940,D1936,D1933,D1930,D1927,D1924,D1921,D1918,D1914,D1910,D1907,D1903,D1900,D1894,D1891,D1887,D1883,D1880,D1877,D1874,D1871,D1868,D1865,D1861,D1857,D1854,D1851,D1848,D1845,D1842,D1839,D1836,D1832,D1829,D1826,D1823,D1820,D1817,D1814,D1811,D1807,D1804,D1801,D1797,D1793,D1790,D2303,D2155,D2035,D2205)</f>
        <v>1142519201.5498438</v>
      </c>
      <c r="E2402" s="445"/>
      <c r="F2402" s="446"/>
      <c r="G2402" s="346">
        <f>SUM(G2302,G2296,G2293,G2290,G2287,G2283,G2280,G2275,G2272,G2266,G2263,G2259,G2255,G2252,G2249,G2246,G2243,G2239,G2236,G2232,G2228,G2225,G2222,G2219,G2216,G2210,G2203,G2197,G2193,G2190,G2187,G2184,G2181,G2178,G2175,G2172,G2168,G2164,G2161,G2158,G2153,G2150,G2146,G2143,G2140,G2137,G2134,G2131,G2128,G2121,G2117,G2114,G2111,G2108,G2104,G2098,G2095,G2092,G2089,G2086,G2083,G2080,G2077,G2073,G2069,G2067,G2064,G2061,G2058,G2055,G2052,G2048,G2044,G2041,G2038,G2033,G2029,G2025,G2022,G2019,G2011,G2008,G2005,G2000,G1997,G1992,G1987,G1984,G1981,G1977,G1974,G1971,G1968,G1964,G1961,G1958,G1954,G1950,G1946,G1942,G1940,G1936,G1933,G1930,G1927,G1924,G1921,G1918,G1914,G1910,G1907,G1903,G1900,G1894,G1891,G1887,G1883,G1880,G1877,G1874,G1871,G1868,G1865,G1861,G1857,G1854,G1851,G1848,G1845,G1842,G1839,G1836,G1832,G1829,G1826,G1823,G1820,G1817,G1814,G1811,G1807,G1804,G1801,G1797,G1793,G1790,G2303,G2155,G2035)</f>
        <v>1162935386.5000625</v>
      </c>
      <c r="H2402" s="447"/>
      <c r="I2402" s="448"/>
      <c r="J2402" s="346">
        <f>SUM(J2303,J2302,J2296,J2293,J2290,J2287,J2283,J2280,J2275,J2272,J2266,J2263,J2259,J2255,J2252,J2249,J2246,J2243,J2239,J2236,J2232,J2228,J2225,J2222,J2219,J2216,J2210,J2203,J2205,J2197,J2193,J2190,J2187,J2184,J2181,J2178,J2175,J2172,J2168,J2164,J2161,J2158,J2155,J2153,J2150,J2146,J2143,J2140,J2137,J2134,J2131,J2128,J2121,J2117,J2114,J2111,J2108,J2104,J2098,J2095,J2092,J2089,J2086,J2083,J2080,J2077,J2073,J2069,J2067,J2064,J2061,J2058,J2055,J2052,J2048,J2044,J2041,J2038,J2033,J2029,J2025,J2022,J2019,J2011,J2008,J2005,J2000,J1997,J1992,J1987,J1984,J1981,J1977,J1974,J1971,J1968,J1964,J1961,J1958,J1954,J1950,J1946,J1942,J1940,J1936,J1933,J1930,J1927,J1924,J1921,J1918,J1914,J1910,J1907,J1903,J1900,J1894,J1891,J1887,J1883,J1880,J1877,J1874,J1871,J1868,J1865,J1861,J1857,J1854,J1851,J1848,J1845,J1842,J1839,J1836,J1832,J1829,J1826,J1823,J1820,J1817,J1814,J1811,J1807,J1804,J1801,J1797,J1793,J1790)</f>
        <v>1029166821.6300002</v>
      </c>
    </row>
    <row r="2403" spans="1:10" ht="16.5" x14ac:dyDescent="0.25">
      <c r="A2403" s="177"/>
      <c r="B2403" s="177"/>
      <c r="C2403" s="177"/>
      <c r="D2403" s="300"/>
      <c r="E2403" s="33"/>
      <c r="F2403" s="33"/>
      <c r="G2403" s="300"/>
      <c r="H2403" s="33"/>
      <c r="I2403" s="423"/>
      <c r="J2403" s="138"/>
    </row>
    <row r="2404" spans="1:10" ht="16.5" x14ac:dyDescent="0.25">
      <c r="A2404" s="177"/>
      <c r="B2404" s="177"/>
      <c r="C2404" s="177"/>
      <c r="D2404" s="300"/>
      <c r="E2404" s="33"/>
      <c r="F2404" s="33"/>
      <c r="G2404" s="300"/>
      <c r="H2404" s="33"/>
      <c r="I2404" s="423"/>
      <c r="J2404" s="309"/>
    </row>
    <row r="2405" spans="1:10" x14ac:dyDescent="0.25">
      <c r="E2405" s="12"/>
      <c r="F2405" s="13"/>
      <c r="H2405" s="12"/>
      <c r="I2405" s="16"/>
      <c r="J2405" s="2"/>
    </row>
    <row r="2406" spans="1:10" x14ac:dyDescent="0.25">
      <c r="B2406" s="1" t="s">
        <v>1159</v>
      </c>
      <c r="E2406" s="1" t="s">
        <v>1160</v>
      </c>
      <c r="J2406" s="5"/>
    </row>
    <row r="2408" spans="1:10" x14ac:dyDescent="0.25">
      <c r="A2408" s="21"/>
      <c r="B2408" s="21"/>
    </row>
  </sheetData>
  <dataConsolidate>
    <dataRefs count="1">
      <dataRef ref="A7:XFD7" sheet="Алек-Сах" r:id="rId1"/>
    </dataRefs>
  </dataConsolidate>
  <mergeCells count="1851">
    <mergeCell ref="I2304:I2322"/>
    <mergeCell ref="H2304:H2322"/>
    <mergeCell ref="F1501:F1504"/>
    <mergeCell ref="H2383:H2401"/>
    <mergeCell ref="F1577:F1580"/>
    <mergeCell ref="E1577:E1580"/>
    <mergeCell ref="H1577:H1580"/>
    <mergeCell ref="F2099:F2101"/>
    <mergeCell ref="E2304:E2322"/>
    <mergeCell ref="F2304:F2322"/>
    <mergeCell ref="E2323:E2357"/>
    <mergeCell ref="F2323:F2357"/>
    <mergeCell ref="E2358:E2365"/>
    <mergeCell ref="F2358:F2365"/>
    <mergeCell ref="E2366:E2382"/>
    <mergeCell ref="F2366:F2382"/>
    <mergeCell ref="E1988:E1989"/>
    <mergeCell ref="F1988:F1989"/>
    <mergeCell ref="E1717:E1719"/>
    <mergeCell ref="F1717:F1719"/>
    <mergeCell ref="E1585:E1605"/>
    <mergeCell ref="F1585:F1605"/>
    <mergeCell ref="E2099:E2101"/>
    <mergeCell ref="H1778:H1785"/>
    <mergeCell ref="H2366:H2382"/>
    <mergeCell ref="A2280:B2280"/>
    <mergeCell ref="A2263:B2263"/>
    <mergeCell ref="A2266:B2266"/>
    <mergeCell ref="A1817:B1817"/>
    <mergeCell ref="B1815:B1816"/>
    <mergeCell ref="A2288:A2289"/>
    <mergeCell ref="B2288:B2289"/>
    <mergeCell ref="A2291:A2292"/>
    <mergeCell ref="B2291:B2292"/>
    <mergeCell ref="A2144:A2145"/>
    <mergeCell ref="B2144:B2145"/>
    <mergeCell ref="A2151:A2152"/>
    <mergeCell ref="B2151:B2152"/>
    <mergeCell ref="A2165:A2167"/>
    <mergeCell ref="B2165:B2167"/>
    <mergeCell ref="A1565:B1565"/>
    <mergeCell ref="A2169:A2171"/>
    <mergeCell ref="A2260:A2262"/>
    <mergeCell ref="A1786:B1786"/>
    <mergeCell ref="A1790:B1790"/>
    <mergeCell ref="B1788:B1789"/>
    <mergeCell ref="A1758:B1758"/>
    <mergeCell ref="A1787:J1787"/>
    <mergeCell ref="A1759:A1761"/>
    <mergeCell ref="B1759:B1761"/>
    <mergeCell ref="E1778:E1785"/>
    <mergeCell ref="H2323:H2357"/>
    <mergeCell ref="A2179:A2180"/>
    <mergeCell ref="A2035:B2035"/>
    <mergeCell ref="B2039:B2040"/>
    <mergeCell ref="A2041:B2041"/>
    <mergeCell ref="A1888:A1890"/>
    <mergeCell ref="B1888:B1890"/>
    <mergeCell ref="B1895:B1899"/>
    <mergeCell ref="A1895:A1899"/>
    <mergeCell ref="A2194:A2196"/>
    <mergeCell ref="B2194:B2196"/>
    <mergeCell ref="A2198:A2202"/>
    <mergeCell ref="B2198:B2202"/>
    <mergeCell ref="B1827:B1828"/>
    <mergeCell ref="A1827:A1828"/>
    <mergeCell ref="A1832:B1832"/>
    <mergeCell ref="A2283:B2283"/>
    <mergeCell ref="B2281:B2282"/>
    <mergeCell ref="A2281:A2282"/>
    <mergeCell ref="B1982:B1983"/>
    <mergeCell ref="A1982:A1983"/>
    <mergeCell ref="A2114:B2114"/>
    <mergeCell ref="B2112:B2113"/>
    <mergeCell ref="A2112:A2113"/>
    <mergeCell ref="A2294:A2295"/>
    <mergeCell ref="A2272:B2272"/>
    <mergeCell ref="B2147:B2149"/>
    <mergeCell ref="A2158:B2158"/>
    <mergeCell ref="A2175:B2175"/>
    <mergeCell ref="B2173:B2174"/>
    <mergeCell ref="A2222:B2222"/>
    <mergeCell ref="A2156:A2157"/>
    <mergeCell ref="B2294:B2295"/>
    <mergeCell ref="A1829:B1829"/>
    <mergeCell ref="A1836:B1836"/>
    <mergeCell ref="B1798:B1800"/>
    <mergeCell ref="A1763:A1765"/>
    <mergeCell ref="B1763:B1765"/>
    <mergeCell ref="A1769:A1771"/>
    <mergeCell ref="B1769:B1771"/>
    <mergeCell ref="A1773:A1775"/>
    <mergeCell ref="B1773:B1775"/>
    <mergeCell ref="B1777:C1777"/>
    <mergeCell ref="B1608:B1609"/>
    <mergeCell ref="B1808:B1810"/>
    <mergeCell ref="A1808:A1810"/>
    <mergeCell ref="A1814:B1814"/>
    <mergeCell ref="B1812:B1813"/>
    <mergeCell ref="B1735:B1740"/>
    <mergeCell ref="A1735:A1740"/>
    <mergeCell ref="A2095:B2095"/>
    <mergeCell ref="A2086:B2086"/>
    <mergeCell ref="B2084:B2085"/>
    <mergeCell ref="A2104:B2104"/>
    <mergeCell ref="A2217:A2218"/>
    <mergeCell ref="A2181:B2181"/>
    <mergeCell ref="A2187:B2187"/>
    <mergeCell ref="B1630:B1631"/>
    <mergeCell ref="A1630:A1631"/>
    <mergeCell ref="B1627:B1628"/>
    <mergeCell ref="B1731:B1732"/>
    <mergeCell ref="A2275:B2275"/>
    <mergeCell ref="B2273:B2274"/>
    <mergeCell ref="A2273:A2274"/>
    <mergeCell ref="A1811:B1811"/>
    <mergeCell ref="A2223:A2224"/>
    <mergeCell ref="A1766:B1766"/>
    <mergeCell ref="A1768:B1768"/>
    <mergeCell ref="A1772:B1772"/>
    <mergeCell ref="A1776:B1776"/>
    <mergeCell ref="B2191:B2192"/>
    <mergeCell ref="A1794:A1796"/>
    <mergeCell ref="A1798:A1800"/>
    <mergeCell ref="A1802:A1803"/>
    <mergeCell ref="B1802:B1803"/>
    <mergeCell ref="A1826:B1826"/>
    <mergeCell ref="B1824:B1825"/>
    <mergeCell ref="A1824:A1825"/>
    <mergeCell ref="A1804:B1804"/>
    <mergeCell ref="B1791:B1792"/>
    <mergeCell ref="A1791:A1792"/>
    <mergeCell ref="B1794:B1796"/>
    <mergeCell ref="A1843:A1844"/>
    <mergeCell ref="A1848:B1848"/>
    <mergeCell ref="B1846:B1847"/>
    <mergeCell ref="A1846:A1847"/>
    <mergeCell ref="A1851:B1851"/>
    <mergeCell ref="A2042:A2043"/>
    <mergeCell ref="A1793:B1793"/>
    <mergeCell ref="B1993:B1996"/>
    <mergeCell ref="A2026:A2028"/>
    <mergeCell ref="A1981:B1981"/>
    <mergeCell ref="A1984:B1984"/>
    <mergeCell ref="A2069:B2069"/>
    <mergeCell ref="A2073:B2073"/>
    <mergeCell ref="A1833:A1835"/>
    <mergeCell ref="A1812:A1813"/>
    <mergeCell ref="A1797:B1797"/>
    <mergeCell ref="A1801:B1801"/>
    <mergeCell ref="A1788:A1789"/>
    <mergeCell ref="B1508:B1514"/>
    <mergeCell ref="B1449:B1450"/>
    <mergeCell ref="B1484:B1485"/>
    <mergeCell ref="A1484:A1485"/>
    <mergeCell ref="B1:J1"/>
    <mergeCell ref="H607:H611"/>
    <mergeCell ref="I607:I611"/>
    <mergeCell ref="E672:E677"/>
    <mergeCell ref="F672:F677"/>
    <mergeCell ref="H1717:H1719"/>
    <mergeCell ref="B1742:B1746"/>
    <mergeCell ref="I464:I465"/>
    <mergeCell ref="I53:I55"/>
    <mergeCell ref="I60:I63"/>
    <mergeCell ref="A76:B76"/>
    <mergeCell ref="A505:A506"/>
    <mergeCell ref="B505:B506"/>
    <mergeCell ref="A501:B501"/>
    <mergeCell ref="B498:B500"/>
    <mergeCell ref="A498:A500"/>
    <mergeCell ref="A606:C606"/>
    <mergeCell ref="A178:A179"/>
    <mergeCell ref="E1534:E1536"/>
    <mergeCell ref="A1741:B1741"/>
    <mergeCell ref="B1481:B1482"/>
    <mergeCell ref="A1608:A1609"/>
    <mergeCell ref="A1613:B1613"/>
    <mergeCell ref="B134:C134"/>
    <mergeCell ref="B222:C222"/>
    <mergeCell ref="B240:C240"/>
    <mergeCell ref="B316:C316"/>
    <mergeCell ref="C991:C992"/>
    <mergeCell ref="A1462:J1462"/>
    <mergeCell ref="F1778:F1785"/>
    <mergeCell ref="H957:H959"/>
    <mergeCell ref="B1472:B1473"/>
    <mergeCell ref="A1472:A1473"/>
    <mergeCell ref="A1477:B1477"/>
    <mergeCell ref="B1475:B1476"/>
    <mergeCell ref="A1475:A1476"/>
    <mergeCell ref="A1465:B1465"/>
    <mergeCell ref="B1516:B1518"/>
    <mergeCell ref="A1516:A1518"/>
    <mergeCell ref="A1523:B1523"/>
    <mergeCell ref="A1520:A1522"/>
    <mergeCell ref="B1520:B1522"/>
    <mergeCell ref="A1498:A1499"/>
    <mergeCell ref="A1507:B1507"/>
    <mergeCell ref="B1501:B1506"/>
    <mergeCell ref="A1501:A1506"/>
    <mergeCell ref="A1483:B1483"/>
    <mergeCell ref="A1478:A1479"/>
    <mergeCell ref="B1614:B1619"/>
    <mergeCell ref="A1614:A1619"/>
    <mergeCell ref="A1667:B1667"/>
    <mergeCell ref="A1747:B1747"/>
    <mergeCell ref="A1752:B1752"/>
    <mergeCell ref="A1762:B1762"/>
    <mergeCell ref="E1527:E1529"/>
    <mergeCell ref="A1559:B1559"/>
    <mergeCell ref="B1557:B1558"/>
    <mergeCell ref="A1550:B1550"/>
    <mergeCell ref="B1548:B1549"/>
    <mergeCell ref="A1548:A1549"/>
    <mergeCell ref="A1542:A1543"/>
    <mergeCell ref="B1633:B1634"/>
    <mergeCell ref="A1585:A1605"/>
    <mergeCell ref="A1681:B1681"/>
    <mergeCell ref="B1679:B1680"/>
    <mergeCell ref="A1679:A1680"/>
    <mergeCell ref="A1686:B1686"/>
    <mergeCell ref="A1620:B1620"/>
    <mergeCell ref="B1568:B1569"/>
    <mergeCell ref="A1568:A1569"/>
    <mergeCell ref="B1551:B1552"/>
    <mergeCell ref="B1665:B1666"/>
    <mergeCell ref="A1626:B1626"/>
    <mergeCell ref="B1624:B1625"/>
    <mergeCell ref="A1624:A1625"/>
    <mergeCell ref="A1629:B1629"/>
    <mergeCell ref="A1638:A1639"/>
    <mergeCell ref="B1659:B1660"/>
    <mergeCell ref="A1659:A1660"/>
    <mergeCell ref="A1611:A1612"/>
    <mergeCell ref="A1623:B1623"/>
    <mergeCell ref="B1621:B1622"/>
    <mergeCell ref="A1621:A1622"/>
    <mergeCell ref="A1570:B1570"/>
    <mergeCell ref="A1661:B1661"/>
    <mergeCell ref="A1670:B1670"/>
    <mergeCell ref="A1560:A1561"/>
    <mergeCell ref="A1314:B1314"/>
    <mergeCell ref="B1312:B1313"/>
    <mergeCell ref="A1742:A1746"/>
    <mergeCell ref="A1748:A1751"/>
    <mergeCell ref="B1748:B1751"/>
    <mergeCell ref="B1753:B1757"/>
    <mergeCell ref="A1753:A1757"/>
    <mergeCell ref="H336:H337"/>
    <mergeCell ref="E1723:E1726"/>
    <mergeCell ref="F1723:F1726"/>
    <mergeCell ref="H1723:H1726"/>
    <mergeCell ref="H509:H519"/>
    <mergeCell ref="H672:H677"/>
    <mergeCell ref="H698:H701"/>
    <mergeCell ref="H1006:H1012"/>
    <mergeCell ref="H1338:H1345"/>
    <mergeCell ref="H1457:H1460"/>
    <mergeCell ref="H1585:H1605"/>
    <mergeCell ref="E903:E914"/>
    <mergeCell ref="A1658:B1658"/>
    <mergeCell ref="B1656:B1657"/>
    <mergeCell ref="A1656:A1657"/>
    <mergeCell ref="A1577:A1580"/>
    <mergeCell ref="A1583:B1583"/>
    <mergeCell ref="A508:C508"/>
    <mergeCell ref="A1480:B1480"/>
    <mergeCell ref="A1562:B1562"/>
    <mergeCell ref="A1515:B1515"/>
    <mergeCell ref="A1551:A1552"/>
    <mergeCell ref="A1385:B1385"/>
    <mergeCell ref="A1370:A1376"/>
    <mergeCell ref="B1370:B1376"/>
    <mergeCell ref="A1400:B1400"/>
    <mergeCell ref="A1557:A1558"/>
    <mergeCell ref="A1544:B1544"/>
    <mergeCell ref="B1542:B1543"/>
    <mergeCell ref="B1545:B1546"/>
    <mergeCell ref="A1545:A1546"/>
    <mergeCell ref="A1362:B1362"/>
    <mergeCell ref="B1360:B1361"/>
    <mergeCell ref="A1401:A1402"/>
    <mergeCell ref="A1665:A1666"/>
    <mergeCell ref="A1633:A1634"/>
    <mergeCell ref="A1637:B1637"/>
    <mergeCell ref="B1571:B1572"/>
    <mergeCell ref="A1571:A1572"/>
    <mergeCell ref="A1576:B1576"/>
    <mergeCell ref="B1574:B1575"/>
    <mergeCell ref="A1574:A1575"/>
    <mergeCell ref="B1577:B1580"/>
    <mergeCell ref="B1611:B1612"/>
    <mergeCell ref="A1650:A1651"/>
    <mergeCell ref="A1468:B1468"/>
    <mergeCell ref="B1466:B1467"/>
    <mergeCell ref="A1466:A1467"/>
    <mergeCell ref="A1471:B1471"/>
    <mergeCell ref="B1469:B1470"/>
    <mergeCell ref="A1469:A1470"/>
    <mergeCell ref="B1394:B1399"/>
    <mergeCell ref="A1394:A1399"/>
    <mergeCell ref="A1490:A1496"/>
    <mergeCell ref="A1497:B1497"/>
    <mergeCell ref="B1490:B1496"/>
    <mergeCell ref="A1487:A1488"/>
    <mergeCell ref="A1441:B1441"/>
    <mergeCell ref="B1437:B1440"/>
    <mergeCell ref="A1437:A1440"/>
    <mergeCell ref="A1444:B1444"/>
    <mergeCell ref="B1442:B1443"/>
    <mergeCell ref="A1442:A1443"/>
    <mergeCell ref="A1422:A1427"/>
    <mergeCell ref="A1431:B1431"/>
    <mergeCell ref="B1429:B1430"/>
    <mergeCell ref="A1429:A1430"/>
    <mergeCell ref="A1436:B1436"/>
    <mergeCell ref="B1432:B1435"/>
    <mergeCell ref="A1432:A1435"/>
    <mergeCell ref="B1448:C1448"/>
    <mergeCell ref="B1445:B1446"/>
    <mergeCell ref="A1556:B1556"/>
    <mergeCell ref="B1554:B1555"/>
    <mergeCell ref="A1554:A1555"/>
    <mergeCell ref="A1489:B1489"/>
    <mergeCell ref="B1487:B1488"/>
    <mergeCell ref="B1478:B1479"/>
    <mergeCell ref="B1498:B1499"/>
    <mergeCell ref="A1547:B1547"/>
    <mergeCell ref="A1500:B1500"/>
    <mergeCell ref="A1697:B1697"/>
    <mergeCell ref="B1693:B1696"/>
    <mergeCell ref="A1710:B1710"/>
    <mergeCell ref="B1707:B1709"/>
    <mergeCell ref="B1682:B1685"/>
    <mergeCell ref="A1678:B1678"/>
    <mergeCell ref="B1676:B1677"/>
    <mergeCell ref="B1671:B1674"/>
    <mergeCell ref="A1711:A1712"/>
    <mergeCell ref="A1716:B1716"/>
    <mergeCell ref="B1714:B1715"/>
    <mergeCell ref="A1714:A1715"/>
    <mergeCell ref="B1717:B1720"/>
    <mergeCell ref="A1717:A1720"/>
    <mergeCell ref="B1722:C1722"/>
    <mergeCell ref="B1727:B1728"/>
    <mergeCell ref="A1693:A1696"/>
    <mergeCell ref="A1713:B1713"/>
    <mergeCell ref="B1711:B1712"/>
    <mergeCell ref="A1707:A1709"/>
    <mergeCell ref="A1671:A1674"/>
    <mergeCell ref="A1653:A1654"/>
    <mergeCell ref="A1640:B1640"/>
    <mergeCell ref="A1610:B1610"/>
    <mergeCell ref="A1643:B1643"/>
    <mergeCell ref="B1641:B1642"/>
    <mergeCell ref="A1641:A1642"/>
    <mergeCell ref="A1646:B1646"/>
    <mergeCell ref="A1649:B1649"/>
    <mergeCell ref="B1647:B1648"/>
    <mergeCell ref="B1644:B1645"/>
    <mergeCell ref="A1644:A1645"/>
    <mergeCell ref="A1411:A1412"/>
    <mergeCell ref="A1418:B1418"/>
    <mergeCell ref="B1414:B1417"/>
    <mergeCell ref="A1508:A1514"/>
    <mergeCell ref="A1519:B1519"/>
    <mergeCell ref="B1729:B1730"/>
    <mergeCell ref="A1474:B1474"/>
    <mergeCell ref="B1560:B1561"/>
    <mergeCell ref="A1526:B1526"/>
    <mergeCell ref="B1524:B1525"/>
    <mergeCell ref="A1524:A1525"/>
    <mergeCell ref="A1533:B1533"/>
    <mergeCell ref="B1527:B1532"/>
    <mergeCell ref="A1527:A1532"/>
    <mergeCell ref="A1541:B1541"/>
    <mergeCell ref="A1481:A1482"/>
    <mergeCell ref="A1486:B1486"/>
    <mergeCell ref="A1414:A1417"/>
    <mergeCell ref="A1421:B1421"/>
    <mergeCell ref="B1419:B1420"/>
    <mergeCell ref="A1419:A1420"/>
    <mergeCell ref="A1377:B1377"/>
    <mergeCell ref="A1410:B1410"/>
    <mergeCell ref="B1404:B1409"/>
    <mergeCell ref="A1404:A1409"/>
    <mergeCell ref="A1676:A1677"/>
    <mergeCell ref="B1451:B1452"/>
    <mergeCell ref="A1447:B1447"/>
    <mergeCell ref="A1581:B1581"/>
    <mergeCell ref="A1703:A1705"/>
    <mergeCell ref="A1689:B1689"/>
    <mergeCell ref="B1687:B1688"/>
    <mergeCell ref="A1687:A1688"/>
    <mergeCell ref="A1692:B1692"/>
    <mergeCell ref="B1690:B1691"/>
    <mergeCell ref="A1690:A1691"/>
    <mergeCell ref="A1655:B1655"/>
    <mergeCell ref="B1662:B1663"/>
    <mergeCell ref="A1662:A1663"/>
    <mergeCell ref="A1647:A1648"/>
    <mergeCell ref="A1652:B1652"/>
    <mergeCell ref="B1650:B1651"/>
    <mergeCell ref="A1682:A1685"/>
    <mergeCell ref="A1664:B1664"/>
    <mergeCell ref="A1675:B1675"/>
    <mergeCell ref="A1635:B1635"/>
    <mergeCell ref="A1584:C1584"/>
    <mergeCell ref="A1632:B1632"/>
    <mergeCell ref="B1668:B1669"/>
    <mergeCell ref="A1668:A1669"/>
    <mergeCell ref="A1627:A1628"/>
    <mergeCell ref="A1606:B1606"/>
    <mergeCell ref="B1653:B1654"/>
    <mergeCell ref="B1328:B1332"/>
    <mergeCell ref="A1328:A1332"/>
    <mergeCell ref="A1336:B1336"/>
    <mergeCell ref="B1334:B1335"/>
    <mergeCell ref="A1334:A1335"/>
    <mergeCell ref="B1337:C1337"/>
    <mergeCell ref="A1359:B1359"/>
    <mergeCell ref="B1357:B1358"/>
    <mergeCell ref="A1357:A1358"/>
    <mergeCell ref="B1638:B1639"/>
    <mergeCell ref="A1346:B1346"/>
    <mergeCell ref="A1350:B1350"/>
    <mergeCell ref="B1348:B1349"/>
    <mergeCell ref="A1348:A1349"/>
    <mergeCell ref="A1353:B1353"/>
    <mergeCell ref="B1351:B1352"/>
    <mergeCell ref="A1351:A1352"/>
    <mergeCell ref="A1356:B1356"/>
    <mergeCell ref="B1354:B1355"/>
    <mergeCell ref="A1354:A1355"/>
    <mergeCell ref="A1534:A1540"/>
    <mergeCell ref="A1461:B1461"/>
    <mergeCell ref="A1445:A1446"/>
    <mergeCell ref="A1428:B1428"/>
    <mergeCell ref="B1422:B1427"/>
    <mergeCell ref="B1534:B1540"/>
    <mergeCell ref="B1453:B1454"/>
    <mergeCell ref="B1455:B1456"/>
    <mergeCell ref="B1463:B1464"/>
    <mergeCell ref="A1463:A1464"/>
    <mergeCell ref="A1413:B1413"/>
    <mergeCell ref="B1411:B1412"/>
    <mergeCell ref="A1283:B1283"/>
    <mergeCell ref="B1281:B1282"/>
    <mergeCell ref="A1281:A1282"/>
    <mergeCell ref="A1286:B1286"/>
    <mergeCell ref="B1284:B1285"/>
    <mergeCell ref="A1284:A1285"/>
    <mergeCell ref="A1289:B1289"/>
    <mergeCell ref="B1287:B1288"/>
    <mergeCell ref="A1287:A1288"/>
    <mergeCell ref="A1312:A1313"/>
    <mergeCell ref="A1321:B1321"/>
    <mergeCell ref="B1315:B1320"/>
    <mergeCell ref="A1315:A1320"/>
    <mergeCell ref="B1401:B1402"/>
    <mergeCell ref="A1403:B1403"/>
    <mergeCell ref="A1303:B1303"/>
    <mergeCell ref="A1322:A1326"/>
    <mergeCell ref="B1322:B1326"/>
    <mergeCell ref="B1301:B1302"/>
    <mergeCell ref="A1301:A1302"/>
    <mergeCell ref="A1305:B1305"/>
    <mergeCell ref="A1308:B1308"/>
    <mergeCell ref="B1306:B1307"/>
    <mergeCell ref="A1306:A1307"/>
    <mergeCell ref="B1378:B1384"/>
    <mergeCell ref="A1378:A1384"/>
    <mergeCell ref="A1393:B1393"/>
    <mergeCell ref="B1386:B1392"/>
    <mergeCell ref="A1386:A1392"/>
    <mergeCell ref="A1347:J1347"/>
    <mergeCell ref="A1327:B1327"/>
    <mergeCell ref="A1333:B1333"/>
    <mergeCell ref="A1311:B1311"/>
    <mergeCell ref="B1309:B1310"/>
    <mergeCell ref="A1309:A1310"/>
    <mergeCell ref="A1273:B1273"/>
    <mergeCell ref="B1267:B1272"/>
    <mergeCell ref="A1267:A1272"/>
    <mergeCell ref="A1277:B1277"/>
    <mergeCell ref="B1274:B1276"/>
    <mergeCell ref="A1274:A1276"/>
    <mergeCell ref="A1280:B1280"/>
    <mergeCell ref="B1278:B1279"/>
    <mergeCell ref="A1278:A1279"/>
    <mergeCell ref="A1257:B1257"/>
    <mergeCell ref="B1255:B1256"/>
    <mergeCell ref="A1255:A1256"/>
    <mergeCell ref="A1259:B1259"/>
    <mergeCell ref="A1263:B1263"/>
    <mergeCell ref="B1261:B1262"/>
    <mergeCell ref="A1261:A1262"/>
    <mergeCell ref="A1266:B1266"/>
    <mergeCell ref="B1264:B1265"/>
    <mergeCell ref="A1264:A1265"/>
    <mergeCell ref="B1258:C1258"/>
    <mergeCell ref="A1294:B1294"/>
    <mergeCell ref="B1290:B1293"/>
    <mergeCell ref="A1290:A1293"/>
    <mergeCell ref="A1297:B1297"/>
    <mergeCell ref="B1295:B1296"/>
    <mergeCell ref="A1295:A1296"/>
    <mergeCell ref="A1300:B1300"/>
    <mergeCell ref="B1298:B1299"/>
    <mergeCell ref="A1298:A1299"/>
    <mergeCell ref="A1247:B1247"/>
    <mergeCell ref="A1251:B1251"/>
    <mergeCell ref="A1254:B1254"/>
    <mergeCell ref="B1252:B1253"/>
    <mergeCell ref="A1252:A1253"/>
    <mergeCell ref="A1240:B1240"/>
    <mergeCell ref="A1243:B1243"/>
    <mergeCell ref="B1241:B1242"/>
    <mergeCell ref="A1241:A1242"/>
    <mergeCell ref="A1260:J1260"/>
    <mergeCell ref="B1237:B1239"/>
    <mergeCell ref="A1237:A1239"/>
    <mergeCell ref="B1244:B1246"/>
    <mergeCell ref="A1244:A1246"/>
    <mergeCell ref="B1248:B1250"/>
    <mergeCell ref="A1248:A1250"/>
    <mergeCell ref="A1229:B1229"/>
    <mergeCell ref="A1232:B1232"/>
    <mergeCell ref="A1236:B1236"/>
    <mergeCell ref="A1222:B1222"/>
    <mergeCell ref="A1225:B1225"/>
    <mergeCell ref="B1223:B1224"/>
    <mergeCell ref="A1223:A1224"/>
    <mergeCell ref="A1227:B1227"/>
    <mergeCell ref="A1214:B1214"/>
    <mergeCell ref="A1218:B1218"/>
    <mergeCell ref="A1220:B1220"/>
    <mergeCell ref="B1211:B1213"/>
    <mergeCell ref="A1211:A1213"/>
    <mergeCell ref="B1215:B1217"/>
    <mergeCell ref="A1215:A1217"/>
    <mergeCell ref="B1230:B1231"/>
    <mergeCell ref="A1230:A1231"/>
    <mergeCell ref="A1233:A1235"/>
    <mergeCell ref="B1233:B1235"/>
    <mergeCell ref="A1202:B1202"/>
    <mergeCell ref="B1200:B1201"/>
    <mergeCell ref="A1200:A1201"/>
    <mergeCell ref="A1206:B1206"/>
    <mergeCell ref="A1210:B1210"/>
    <mergeCell ref="A1193:B1193"/>
    <mergeCell ref="A1196:B1196"/>
    <mergeCell ref="B1194:B1195"/>
    <mergeCell ref="A1194:A1195"/>
    <mergeCell ref="A1199:B1199"/>
    <mergeCell ref="B1197:B1198"/>
    <mergeCell ref="A1197:A1198"/>
    <mergeCell ref="A1190:A1192"/>
    <mergeCell ref="B1190:B1192"/>
    <mergeCell ref="B1203:B1205"/>
    <mergeCell ref="A1203:A1205"/>
    <mergeCell ref="A1207:A1209"/>
    <mergeCell ref="B1207:B1209"/>
    <mergeCell ref="A1182:B1182"/>
    <mergeCell ref="A1180:A1181"/>
    <mergeCell ref="A1186:B1186"/>
    <mergeCell ref="A1189:B1189"/>
    <mergeCell ref="B1187:B1188"/>
    <mergeCell ref="A1187:A1188"/>
    <mergeCell ref="A1169:B1169"/>
    <mergeCell ref="A1173:B1173"/>
    <mergeCell ref="B1171:B1172"/>
    <mergeCell ref="A1171:A1172"/>
    <mergeCell ref="A1176:B1176"/>
    <mergeCell ref="A1174:A1175"/>
    <mergeCell ref="B1174:B1175"/>
    <mergeCell ref="A1179:B1179"/>
    <mergeCell ref="B1177:B1178"/>
    <mergeCell ref="A1177:A1178"/>
    <mergeCell ref="A1170:J1170"/>
    <mergeCell ref="B1180:B1181"/>
    <mergeCell ref="B1183:B1185"/>
    <mergeCell ref="A1183:A1185"/>
    <mergeCell ref="A1161:B1161"/>
    <mergeCell ref="B1159:B1160"/>
    <mergeCell ref="A1159:A1160"/>
    <mergeCell ref="A1164:B1164"/>
    <mergeCell ref="B1162:B1163"/>
    <mergeCell ref="A1162:A1163"/>
    <mergeCell ref="A1167:B1167"/>
    <mergeCell ref="B1165:B1166"/>
    <mergeCell ref="A1165:A1166"/>
    <mergeCell ref="A1152:B1152"/>
    <mergeCell ref="A1155:B1155"/>
    <mergeCell ref="B1153:B1154"/>
    <mergeCell ref="A1153:A1154"/>
    <mergeCell ref="A1158:B1158"/>
    <mergeCell ref="B1156:B1157"/>
    <mergeCell ref="A1156:A1157"/>
    <mergeCell ref="A1144:B1144"/>
    <mergeCell ref="A1147:B1147"/>
    <mergeCell ref="B1145:B1146"/>
    <mergeCell ref="A1145:A1146"/>
    <mergeCell ref="A1150:B1150"/>
    <mergeCell ref="B1148:B1149"/>
    <mergeCell ref="A1148:A1149"/>
    <mergeCell ref="A1136:B1136"/>
    <mergeCell ref="B1134:B1135"/>
    <mergeCell ref="A1134:A1135"/>
    <mergeCell ref="A1139:B1139"/>
    <mergeCell ref="B1137:B1138"/>
    <mergeCell ref="A1137:A1138"/>
    <mergeCell ref="A1142:B1142"/>
    <mergeCell ref="B1140:B1141"/>
    <mergeCell ref="A1140:A1141"/>
    <mergeCell ref="A1127:B1127"/>
    <mergeCell ref="B1125:B1126"/>
    <mergeCell ref="A1125:A1126"/>
    <mergeCell ref="A1130:B1130"/>
    <mergeCell ref="B1128:B1129"/>
    <mergeCell ref="A1128:A1129"/>
    <mergeCell ref="A1133:B1133"/>
    <mergeCell ref="B1131:B1132"/>
    <mergeCell ref="A1131:A1132"/>
    <mergeCell ref="A1124:B1124"/>
    <mergeCell ref="A1112:B1112"/>
    <mergeCell ref="A1114:B1114"/>
    <mergeCell ref="A1117:B1117"/>
    <mergeCell ref="B1115:B1116"/>
    <mergeCell ref="A1115:A1116"/>
    <mergeCell ref="A1106:B1106"/>
    <mergeCell ref="B1104:B1105"/>
    <mergeCell ref="A1104:A1105"/>
    <mergeCell ref="A1108:B1108"/>
    <mergeCell ref="A1110:B1110"/>
    <mergeCell ref="A1097:B1097"/>
    <mergeCell ref="B1095:B1096"/>
    <mergeCell ref="A1095:A1096"/>
    <mergeCell ref="A1100:B1100"/>
    <mergeCell ref="B1098:B1099"/>
    <mergeCell ref="A1098:A1099"/>
    <mergeCell ref="A1103:B1103"/>
    <mergeCell ref="B1101:B1102"/>
    <mergeCell ref="A1101:A1102"/>
    <mergeCell ref="A1076:B1076"/>
    <mergeCell ref="A1079:B1079"/>
    <mergeCell ref="A1054:B1054"/>
    <mergeCell ref="B1052:B1053"/>
    <mergeCell ref="A1052:A1053"/>
    <mergeCell ref="A1068:A1075"/>
    <mergeCell ref="A1060:B1060"/>
    <mergeCell ref="B1058:B1059"/>
    <mergeCell ref="A1067:C1067"/>
    <mergeCell ref="A1119:B1119"/>
    <mergeCell ref="A1122:B1122"/>
    <mergeCell ref="B1120:B1121"/>
    <mergeCell ref="A1120:A1121"/>
    <mergeCell ref="B1089:B1090"/>
    <mergeCell ref="A1089:A1090"/>
    <mergeCell ref="A1094:B1094"/>
    <mergeCell ref="B1092:B1093"/>
    <mergeCell ref="A1092:A1093"/>
    <mergeCell ref="A1083:B1083"/>
    <mergeCell ref="A1086:B1086"/>
    <mergeCell ref="B1084:B1085"/>
    <mergeCell ref="A1084:A1085"/>
    <mergeCell ref="A1022:B1022"/>
    <mergeCell ref="B1019:B1021"/>
    <mergeCell ref="A1019:A1021"/>
    <mergeCell ref="A1026:B1026"/>
    <mergeCell ref="A1014:J1014"/>
    <mergeCell ref="B1035:B1036"/>
    <mergeCell ref="A1035:A1036"/>
    <mergeCell ref="A1037:B1037"/>
    <mergeCell ref="A1040:B1040"/>
    <mergeCell ref="B1038:B1039"/>
    <mergeCell ref="A1038:A1039"/>
    <mergeCell ref="A1063:B1063"/>
    <mergeCell ref="B1061:B1062"/>
    <mergeCell ref="A1061:A1062"/>
    <mergeCell ref="A1066:B1066"/>
    <mergeCell ref="B1064:B1065"/>
    <mergeCell ref="A1064:A1065"/>
    <mergeCell ref="B893:B900"/>
    <mergeCell ref="A893:A900"/>
    <mergeCell ref="A915:B915"/>
    <mergeCell ref="A919:B919"/>
    <mergeCell ref="B917:B918"/>
    <mergeCell ref="A917:A918"/>
    <mergeCell ref="B902:C902"/>
    <mergeCell ref="A972:B972"/>
    <mergeCell ref="B967:B971"/>
    <mergeCell ref="A967:A971"/>
    <mergeCell ref="H967:H969"/>
    <mergeCell ref="I926:I930"/>
    <mergeCell ref="H949:H950"/>
    <mergeCell ref="A1044:A1046"/>
    <mergeCell ref="A1051:B1051"/>
    <mergeCell ref="B1048:B1050"/>
    <mergeCell ref="A1048:A1050"/>
    <mergeCell ref="D985:D986"/>
    <mergeCell ref="E957:E959"/>
    <mergeCell ref="F957:F959"/>
    <mergeCell ref="C985:C986"/>
    <mergeCell ref="A1005:C1005"/>
    <mergeCell ref="B976:B982"/>
    <mergeCell ref="A976:A982"/>
    <mergeCell ref="A989:B989"/>
    <mergeCell ref="B984:B988"/>
    <mergeCell ref="A984:A988"/>
    <mergeCell ref="A1034:B1034"/>
    <mergeCell ref="B1032:B1033"/>
    <mergeCell ref="A1027:A1030"/>
    <mergeCell ref="A1013:B1013"/>
    <mergeCell ref="A1018:B1018"/>
    <mergeCell ref="A879:B879"/>
    <mergeCell ref="A940:B940"/>
    <mergeCell ref="B933:B939"/>
    <mergeCell ref="A933:A939"/>
    <mergeCell ref="A948:B948"/>
    <mergeCell ref="B941:B947"/>
    <mergeCell ref="A941:A947"/>
    <mergeCell ref="A955:B955"/>
    <mergeCell ref="B949:B954"/>
    <mergeCell ref="A949:A954"/>
    <mergeCell ref="A819:B819"/>
    <mergeCell ref="A888:B888"/>
    <mergeCell ref="B880:B887"/>
    <mergeCell ref="A880:A887"/>
    <mergeCell ref="A922:B922"/>
    <mergeCell ref="A963:B963"/>
    <mergeCell ref="A925:B925"/>
    <mergeCell ref="B923:B924"/>
    <mergeCell ref="A923:A924"/>
    <mergeCell ref="B920:B921"/>
    <mergeCell ref="A920:A921"/>
    <mergeCell ref="A916:J916"/>
    <mergeCell ref="A892:B892"/>
    <mergeCell ref="B889:B891"/>
    <mergeCell ref="A889:A891"/>
    <mergeCell ref="A901:B901"/>
    <mergeCell ref="F903:F914"/>
    <mergeCell ref="A871:B871"/>
    <mergeCell ref="B863:B870"/>
    <mergeCell ref="A863:A870"/>
    <mergeCell ref="B872:B878"/>
    <mergeCell ref="A872:A878"/>
    <mergeCell ref="A862:B862"/>
    <mergeCell ref="B854:B861"/>
    <mergeCell ref="A854:A861"/>
    <mergeCell ref="A829:B829"/>
    <mergeCell ref="B820:B828"/>
    <mergeCell ref="A820:A828"/>
    <mergeCell ref="A837:B837"/>
    <mergeCell ref="B830:B836"/>
    <mergeCell ref="A830:A836"/>
    <mergeCell ref="B778:B779"/>
    <mergeCell ref="A778:A779"/>
    <mergeCell ref="A783:B783"/>
    <mergeCell ref="B781:B782"/>
    <mergeCell ref="A781:A782"/>
    <mergeCell ref="A786:B786"/>
    <mergeCell ref="B784:B785"/>
    <mergeCell ref="A784:A785"/>
    <mergeCell ref="A791:B791"/>
    <mergeCell ref="A780:B780"/>
    <mergeCell ref="A792:A793"/>
    <mergeCell ref="A788:B788"/>
    <mergeCell ref="A800:A808"/>
    <mergeCell ref="B795:B796"/>
    <mergeCell ref="A795:A796"/>
    <mergeCell ref="A799:B799"/>
    <mergeCell ref="A809:B809"/>
    <mergeCell ref="B753:B759"/>
    <mergeCell ref="A753:A759"/>
    <mergeCell ref="A763:B763"/>
    <mergeCell ref="A766:B766"/>
    <mergeCell ref="B764:B765"/>
    <mergeCell ref="A764:A765"/>
    <mergeCell ref="A729:B729"/>
    <mergeCell ref="B722:B728"/>
    <mergeCell ref="A722:A728"/>
    <mergeCell ref="A737:A743"/>
    <mergeCell ref="A752:B752"/>
    <mergeCell ref="A845:B845"/>
    <mergeCell ref="B838:B844"/>
    <mergeCell ref="A838:A844"/>
    <mergeCell ref="A853:B853"/>
    <mergeCell ref="B846:B852"/>
    <mergeCell ref="A846:A852"/>
    <mergeCell ref="B587:B588"/>
    <mergeCell ref="A587:A588"/>
    <mergeCell ref="A563:B563"/>
    <mergeCell ref="A549:B549"/>
    <mergeCell ref="A556:B556"/>
    <mergeCell ref="B550:B555"/>
    <mergeCell ref="A550:A555"/>
    <mergeCell ref="A637:A639"/>
    <mergeCell ref="A620:A621"/>
    <mergeCell ref="A625:B625"/>
    <mergeCell ref="B572:B574"/>
    <mergeCell ref="A572:A574"/>
    <mergeCell ref="A577:A581"/>
    <mergeCell ref="A736:B736"/>
    <mergeCell ref="B734:B735"/>
    <mergeCell ref="A734:A735"/>
    <mergeCell ref="A703:J703"/>
    <mergeCell ref="A650:B650"/>
    <mergeCell ref="B648:B649"/>
    <mergeCell ref="B665:B666"/>
    <mergeCell ref="A665:A666"/>
    <mergeCell ref="A670:B670"/>
    <mergeCell ref="A681:B681"/>
    <mergeCell ref="E607:E611"/>
    <mergeCell ref="F607:F611"/>
    <mergeCell ref="H577:H581"/>
    <mergeCell ref="A671:C671"/>
    <mergeCell ref="A617:A618"/>
    <mergeCell ref="B684:B685"/>
    <mergeCell ref="A684:A685"/>
    <mergeCell ref="A453:A455"/>
    <mergeCell ref="B453:B455"/>
    <mergeCell ref="A399:B399"/>
    <mergeCell ref="A147:A151"/>
    <mergeCell ref="A183:B183"/>
    <mergeCell ref="A598:A600"/>
    <mergeCell ref="B704:B711"/>
    <mergeCell ref="A704:A711"/>
    <mergeCell ref="A721:B721"/>
    <mergeCell ref="B713:B720"/>
    <mergeCell ref="A713:A720"/>
    <mergeCell ref="A689:B689"/>
    <mergeCell ref="B687:B688"/>
    <mergeCell ref="A687:A688"/>
    <mergeCell ref="A691:B691"/>
    <mergeCell ref="A693:B693"/>
    <mergeCell ref="A479:A481"/>
    <mergeCell ref="B479:B481"/>
    <mergeCell ref="A485:B485"/>
    <mergeCell ref="A491:A493"/>
    <mergeCell ref="B486:B487"/>
    <mergeCell ref="B662:B663"/>
    <mergeCell ref="A662:A663"/>
    <mergeCell ref="A667:B667"/>
    <mergeCell ref="B697:C697"/>
    <mergeCell ref="A679:J679"/>
    <mergeCell ref="I672:I677"/>
    <mergeCell ref="A542:B542"/>
    <mergeCell ref="B536:B541"/>
    <mergeCell ref="A536:A541"/>
    <mergeCell ref="A584:A585"/>
    <mergeCell ref="A589:B589"/>
    <mergeCell ref="A443:A444"/>
    <mergeCell ref="A429:A431"/>
    <mergeCell ref="A413:B413"/>
    <mergeCell ref="A411:A412"/>
    <mergeCell ref="B411:B412"/>
    <mergeCell ref="A402:B402"/>
    <mergeCell ref="A400:A401"/>
    <mergeCell ref="A446:A447"/>
    <mergeCell ref="B400:B401"/>
    <mergeCell ref="A387:A388"/>
    <mergeCell ref="B387:B388"/>
    <mergeCell ref="B390:B391"/>
    <mergeCell ref="B426:B427"/>
    <mergeCell ref="A392:B392"/>
    <mergeCell ref="A420:A421"/>
    <mergeCell ref="B420:B421"/>
    <mergeCell ref="A425:B425"/>
    <mergeCell ref="A423:A424"/>
    <mergeCell ref="B423:B424"/>
    <mergeCell ref="A416:B416"/>
    <mergeCell ref="A414:A415"/>
    <mergeCell ref="A396:B396"/>
    <mergeCell ref="A410:B410"/>
    <mergeCell ref="A29:A30"/>
    <mergeCell ref="A482:B482"/>
    <mergeCell ref="B52:B58"/>
    <mergeCell ref="A68:A69"/>
    <mergeCell ref="I328:I330"/>
    <mergeCell ref="I336:I337"/>
    <mergeCell ref="A612:B612"/>
    <mergeCell ref="H53:H55"/>
    <mergeCell ref="H61:H62"/>
    <mergeCell ref="A115:B115"/>
    <mergeCell ref="A159:A160"/>
    <mergeCell ref="B159:B160"/>
    <mergeCell ref="A161:B161"/>
    <mergeCell ref="A164:B164"/>
    <mergeCell ref="A162:A163"/>
    <mergeCell ref="B162:B163"/>
    <mergeCell ref="B156:B157"/>
    <mergeCell ref="A152:B152"/>
    <mergeCell ref="H135:H144"/>
    <mergeCell ref="A110:A114"/>
    <mergeCell ref="B110:B114"/>
    <mergeCell ref="H317:H325"/>
    <mergeCell ref="A593:B593"/>
    <mergeCell ref="B590:B592"/>
    <mergeCell ref="A590:A592"/>
    <mergeCell ref="A386:B386"/>
    <mergeCell ref="A384:A385"/>
    <mergeCell ref="A449:A451"/>
    <mergeCell ref="A601:B601"/>
    <mergeCell ref="B598:B600"/>
    <mergeCell ref="B77:B78"/>
    <mergeCell ref="A91:B91"/>
    <mergeCell ref="A6:A10"/>
    <mergeCell ref="B6:B10"/>
    <mergeCell ref="A11:B11"/>
    <mergeCell ref="A19:B19"/>
    <mergeCell ref="A20:A24"/>
    <mergeCell ref="A103:B103"/>
    <mergeCell ref="A104:A108"/>
    <mergeCell ref="B104:B108"/>
    <mergeCell ref="A59:B59"/>
    <mergeCell ref="A60:A66"/>
    <mergeCell ref="B60:B66"/>
    <mergeCell ref="A79:B79"/>
    <mergeCell ref="A80:A84"/>
    <mergeCell ref="B80:B84"/>
    <mergeCell ref="A85:B85"/>
    <mergeCell ref="A86:A90"/>
    <mergeCell ref="A35:A36"/>
    <mergeCell ref="B35:B36"/>
    <mergeCell ref="A14:B14"/>
    <mergeCell ref="A15:A18"/>
    <mergeCell ref="B15:B18"/>
    <mergeCell ref="A40:B40"/>
    <mergeCell ref="B68:B69"/>
    <mergeCell ref="A70:B70"/>
    <mergeCell ref="A71:A72"/>
    <mergeCell ref="B71:B72"/>
    <mergeCell ref="B38:B39"/>
    <mergeCell ref="A31:B31"/>
    <mergeCell ref="A32:A33"/>
    <mergeCell ref="B20:B24"/>
    <mergeCell ref="A41:A44"/>
    <mergeCell ref="B29:B30"/>
    <mergeCell ref="B12:B13"/>
    <mergeCell ref="A12:A13"/>
    <mergeCell ref="A184:A185"/>
    <mergeCell ref="B184:B185"/>
    <mergeCell ref="B153:B154"/>
    <mergeCell ref="A155:B155"/>
    <mergeCell ref="A156:A157"/>
    <mergeCell ref="A167:B167"/>
    <mergeCell ref="A165:A166"/>
    <mergeCell ref="B165:B166"/>
    <mergeCell ref="B168:B169"/>
    <mergeCell ref="A158:B158"/>
    <mergeCell ref="A181:A182"/>
    <mergeCell ref="B181:B182"/>
    <mergeCell ref="A173:B173"/>
    <mergeCell ref="B171:B172"/>
    <mergeCell ref="A171:A172"/>
    <mergeCell ref="B178:B179"/>
    <mergeCell ref="A101:A102"/>
    <mergeCell ref="B92:B96"/>
    <mergeCell ref="B41:B44"/>
    <mergeCell ref="A45:B45"/>
    <mergeCell ref="A28:B28"/>
    <mergeCell ref="A26:A27"/>
    <mergeCell ref="B26:B27"/>
    <mergeCell ref="A37:B37"/>
    <mergeCell ref="A38:A39"/>
    <mergeCell ref="A25:B25"/>
    <mergeCell ref="A97:B97"/>
    <mergeCell ref="B122:B126"/>
    <mergeCell ref="A67:B67"/>
    <mergeCell ref="A109:B109"/>
    <mergeCell ref="B98:B99"/>
    <mergeCell ref="A98:A99"/>
    <mergeCell ref="B101:B102"/>
    <mergeCell ref="A46:A47"/>
    <mergeCell ref="B46:B47"/>
    <mergeCell ref="A48:B48"/>
    <mergeCell ref="A49:A50"/>
    <mergeCell ref="B49:B50"/>
    <mergeCell ref="A34:B34"/>
    <mergeCell ref="A51:B51"/>
    <mergeCell ref="A52:A58"/>
    <mergeCell ref="A92:A96"/>
    <mergeCell ref="A73:B73"/>
    <mergeCell ref="A74:A75"/>
    <mergeCell ref="B74:B75"/>
    <mergeCell ref="A77:A78"/>
    <mergeCell ref="A122:A126"/>
    <mergeCell ref="B116:B120"/>
    <mergeCell ref="B32:B33"/>
    <mergeCell ref="A116:A120"/>
    <mergeCell ref="A121:B121"/>
    <mergeCell ref="A170:B170"/>
    <mergeCell ref="A168:A169"/>
    <mergeCell ref="B86:B90"/>
    <mergeCell ref="A100:B100"/>
    <mergeCell ref="A177:B177"/>
    <mergeCell ref="A174:A176"/>
    <mergeCell ref="B174:B176"/>
    <mergeCell ref="A153:A154"/>
    <mergeCell ref="A180:B180"/>
    <mergeCell ref="E147:E150"/>
    <mergeCell ref="A242:J242"/>
    <mergeCell ref="A192:B192"/>
    <mergeCell ref="A190:A191"/>
    <mergeCell ref="B190:B191"/>
    <mergeCell ref="A198:B198"/>
    <mergeCell ref="A196:A197"/>
    <mergeCell ref="B196:B197"/>
    <mergeCell ref="A193:A194"/>
    <mergeCell ref="B193:B194"/>
    <mergeCell ref="A186:B186"/>
    <mergeCell ref="A189:B189"/>
    <mergeCell ref="A187:A188"/>
    <mergeCell ref="B187:B188"/>
    <mergeCell ref="B147:B151"/>
    <mergeCell ref="A127:B127"/>
    <mergeCell ref="A128:A132"/>
    <mergeCell ref="B128:B132"/>
    <mergeCell ref="A133:B133"/>
    <mergeCell ref="A145:B145"/>
    <mergeCell ref="A195:B195"/>
    <mergeCell ref="A232:J232"/>
    <mergeCell ref="A256:B256"/>
    <mergeCell ref="A252:A255"/>
    <mergeCell ref="B252:B255"/>
    <mergeCell ref="A248:B248"/>
    <mergeCell ref="A246:A247"/>
    <mergeCell ref="B246:B247"/>
    <mergeCell ref="A216:B216"/>
    <mergeCell ref="A221:B221"/>
    <mergeCell ref="A219:A220"/>
    <mergeCell ref="B219:B220"/>
    <mergeCell ref="A218:B218"/>
    <mergeCell ref="A213:B213"/>
    <mergeCell ref="A211:A212"/>
    <mergeCell ref="B211:B212"/>
    <mergeCell ref="A214:A215"/>
    <mergeCell ref="A233:A238"/>
    <mergeCell ref="B233:B238"/>
    <mergeCell ref="B214:B215"/>
    <mergeCell ref="A207:B207"/>
    <mergeCell ref="B208:B209"/>
    <mergeCell ref="A201:B201"/>
    <mergeCell ref="A231:B231"/>
    <mergeCell ref="A210:B210"/>
    <mergeCell ref="A208:A209"/>
    <mergeCell ref="E233:E236"/>
    <mergeCell ref="A205:A206"/>
    <mergeCell ref="B205:B206"/>
    <mergeCell ref="B568:B570"/>
    <mergeCell ref="A576:B576"/>
    <mergeCell ref="A502:A503"/>
    <mergeCell ref="A488:B488"/>
    <mergeCell ref="A543:A548"/>
    <mergeCell ref="A342:B342"/>
    <mergeCell ref="B459:B460"/>
    <mergeCell ref="A507:B507"/>
    <mergeCell ref="A520:B520"/>
    <mergeCell ref="H223:H230"/>
    <mergeCell ref="A239:B239"/>
    <mergeCell ref="A251:B251"/>
    <mergeCell ref="A249:A250"/>
    <mergeCell ref="A199:A200"/>
    <mergeCell ref="B199:B200"/>
    <mergeCell ref="A262:B262"/>
    <mergeCell ref="A260:A261"/>
    <mergeCell ref="B260:B261"/>
    <mergeCell ref="B393:B395"/>
    <mergeCell ref="A268:B268"/>
    <mergeCell ref="A266:A267"/>
    <mergeCell ref="B266:B267"/>
    <mergeCell ref="A259:B259"/>
    <mergeCell ref="A257:A258"/>
    <mergeCell ref="B257:B258"/>
    <mergeCell ref="A265:B265"/>
    <mergeCell ref="B403:B407"/>
    <mergeCell ref="B384:B385"/>
    <mergeCell ref="A464:A468"/>
    <mergeCell ref="A475:B475"/>
    <mergeCell ref="A434:B434"/>
    <mergeCell ref="A432:B432"/>
    <mergeCell ref="H1068:H1075"/>
    <mergeCell ref="I1068:I1075"/>
    <mergeCell ref="B1015:B1017"/>
    <mergeCell ref="A1015:A1017"/>
    <mergeCell ref="A995:B995"/>
    <mergeCell ref="A459:A460"/>
    <mergeCell ref="A437:B437"/>
    <mergeCell ref="A439:B439"/>
    <mergeCell ref="A442:B442"/>
    <mergeCell ref="A445:B445"/>
    <mergeCell ref="A422:B422"/>
    <mergeCell ref="A483:A484"/>
    <mergeCell ref="B429:B431"/>
    <mergeCell ref="B435:B436"/>
    <mergeCell ref="A435:A436"/>
    <mergeCell ref="A597:B597"/>
    <mergeCell ref="B594:B596"/>
    <mergeCell ref="B449:B451"/>
    <mergeCell ref="A582:B582"/>
    <mergeCell ref="A586:B586"/>
    <mergeCell ref="B584:B585"/>
    <mergeCell ref="A522:A527"/>
    <mergeCell ref="A486:A487"/>
    <mergeCell ref="A490:B490"/>
    <mergeCell ref="A494:B494"/>
    <mergeCell ref="B491:B493"/>
    <mergeCell ref="B557:B562"/>
    <mergeCell ref="A557:A562"/>
    <mergeCell ref="A567:B567"/>
    <mergeCell ref="B564:B566"/>
    <mergeCell ref="A564:A566"/>
    <mergeCell ref="A571:B571"/>
    <mergeCell ref="E1338:E1345"/>
    <mergeCell ref="F1457:F1460"/>
    <mergeCell ref="F1328:F1331"/>
    <mergeCell ref="E1267:E1269"/>
    <mergeCell ref="F967:F969"/>
    <mergeCell ref="F926:F930"/>
    <mergeCell ref="F949:F950"/>
    <mergeCell ref="E976:E981"/>
    <mergeCell ref="E926:E930"/>
    <mergeCell ref="E949:E950"/>
    <mergeCell ref="E967:E969"/>
    <mergeCell ref="B956:B962"/>
    <mergeCell ref="A956:A962"/>
    <mergeCell ref="A966:B966"/>
    <mergeCell ref="B964:B965"/>
    <mergeCell ref="A964:A965"/>
    <mergeCell ref="A975:B975"/>
    <mergeCell ref="A932:B932"/>
    <mergeCell ref="B926:B931"/>
    <mergeCell ref="A926:A931"/>
    <mergeCell ref="B973:B974"/>
    <mergeCell ref="E1068:E1075"/>
    <mergeCell ref="F1068:F1075"/>
    <mergeCell ref="A1081:B1081"/>
    <mergeCell ref="A1088:B1088"/>
    <mergeCell ref="A1091:B1091"/>
    <mergeCell ref="B990:B994"/>
    <mergeCell ref="A990:A994"/>
    <mergeCell ref="A1023:A1025"/>
    <mergeCell ref="A1031:B1031"/>
    <mergeCell ref="B1027:B1030"/>
    <mergeCell ref="D991:D992"/>
    <mergeCell ref="F1490:F1492"/>
    <mergeCell ref="F1508:F1511"/>
    <mergeCell ref="B1837:B1838"/>
    <mergeCell ref="A1845:B1845"/>
    <mergeCell ref="B1881:B1882"/>
    <mergeCell ref="A1884:A1886"/>
    <mergeCell ref="B1884:B1886"/>
    <mergeCell ref="A1839:B1839"/>
    <mergeCell ref="A1904:A1906"/>
    <mergeCell ref="B1904:B1906"/>
    <mergeCell ref="A1891:B1891"/>
    <mergeCell ref="A1894:B1894"/>
    <mergeCell ref="B1892:B1893"/>
    <mergeCell ref="A1901:A1902"/>
    <mergeCell ref="B1901:B1902"/>
    <mergeCell ref="E1501:E1504"/>
    <mergeCell ref="E1508:E1511"/>
    <mergeCell ref="B1821:B1822"/>
    <mergeCell ref="A1821:A1822"/>
    <mergeCell ref="A1807:B1807"/>
    <mergeCell ref="B1805:B1806"/>
    <mergeCell ref="A1805:A1806"/>
    <mergeCell ref="F1534:F1536"/>
    <mergeCell ref="B1875:B1876"/>
    <mergeCell ref="A1872:A1873"/>
    <mergeCell ref="B1872:B1873"/>
    <mergeCell ref="A1734:J1734"/>
    <mergeCell ref="A1721:B1721"/>
    <mergeCell ref="A1607:J1607"/>
    <mergeCell ref="A1733:B1733"/>
    <mergeCell ref="A1702:B1702"/>
    <mergeCell ref="B1698:B1701"/>
    <mergeCell ref="E1457:E1460"/>
    <mergeCell ref="A1815:A1816"/>
    <mergeCell ref="A1820:B1820"/>
    <mergeCell ref="B1818:B1819"/>
    <mergeCell ref="A1360:A1361"/>
    <mergeCell ref="A1369:B1369"/>
    <mergeCell ref="B1363:B1368"/>
    <mergeCell ref="B1833:B1835"/>
    <mergeCell ref="I1585:I1605"/>
    <mergeCell ref="F1338:F1345"/>
    <mergeCell ref="F1527:F1529"/>
    <mergeCell ref="A1363:A1368"/>
    <mergeCell ref="B2264:B2265"/>
    <mergeCell ref="B2049:B2051"/>
    <mergeCell ref="A2029:B2029"/>
    <mergeCell ref="A2033:B2033"/>
    <mergeCell ref="A2038:B2038"/>
    <mergeCell ref="A2023:A2024"/>
    <mergeCell ref="A2011:B2011"/>
    <mergeCell ref="A2019:B2019"/>
    <mergeCell ref="A1965:A1967"/>
    <mergeCell ref="A2001:A2004"/>
    <mergeCell ref="B1978:B1980"/>
    <mergeCell ref="B2023:B2024"/>
    <mergeCell ref="A1971:B1971"/>
    <mergeCell ref="B1969:B1970"/>
    <mergeCell ref="A1969:A1970"/>
    <mergeCell ref="B1972:B1973"/>
    <mergeCell ref="B1965:B1967"/>
    <mergeCell ref="B2223:B2224"/>
    <mergeCell ref="A2243:B2243"/>
    <mergeCell ref="A2228:B2228"/>
    <mergeCell ref="A4:B4"/>
    <mergeCell ref="B340:B341"/>
    <mergeCell ref="A340:A341"/>
    <mergeCell ref="B2122:B2127"/>
    <mergeCell ref="B2169:B2171"/>
    <mergeCell ref="A2115:A2116"/>
    <mergeCell ref="B2179:B2180"/>
    <mergeCell ref="A2044:B2044"/>
    <mergeCell ref="A2065:A2066"/>
    <mergeCell ref="B2065:B2066"/>
    <mergeCell ref="A2070:A2072"/>
    <mergeCell ref="B2070:B2072"/>
    <mergeCell ref="A2055:B2055"/>
    <mergeCell ref="B2053:B2054"/>
    <mergeCell ref="A2084:A2085"/>
    <mergeCell ref="B2105:B2107"/>
    <mergeCell ref="A2140:B2140"/>
    <mergeCell ref="B2138:B2139"/>
    <mergeCell ref="A1818:A1819"/>
    <mergeCell ref="A1823:B1823"/>
    <mergeCell ref="A733:B733"/>
    <mergeCell ref="A769:B769"/>
    <mergeCell ref="A702:B702"/>
    <mergeCell ref="A712:B712"/>
    <mergeCell ref="A1911:A1913"/>
    <mergeCell ref="A1937:A1939"/>
    <mergeCell ref="A1915:A1917"/>
    <mergeCell ref="B1915:B1917"/>
    <mergeCell ref="B1023:B1025"/>
    <mergeCell ref="A1058:A1059"/>
    <mergeCell ref="A1043:B1043"/>
    <mergeCell ref="B1041:B1042"/>
    <mergeCell ref="A2067:B2067"/>
    <mergeCell ref="A2267:A2271"/>
    <mergeCell ref="B2267:B2271"/>
    <mergeCell ref="A2122:A2127"/>
    <mergeCell ref="A2105:A2107"/>
    <mergeCell ref="A2159:A2160"/>
    <mergeCell ref="B2217:B2218"/>
    <mergeCell ref="A2250:A2251"/>
    <mergeCell ref="A2256:A2258"/>
    <mergeCell ref="A2098:B2098"/>
    <mergeCell ref="A2216:B2216"/>
    <mergeCell ref="A2225:B2225"/>
    <mergeCell ref="A2108:B2108"/>
    <mergeCell ref="A2117:B2117"/>
    <mergeCell ref="B2099:B2103"/>
    <mergeCell ref="A2150:B2150"/>
    <mergeCell ref="B2087:B2088"/>
    <mergeCell ref="B2078:B2079"/>
    <mergeCell ref="A2078:A2079"/>
    <mergeCell ref="A2233:A2235"/>
    <mergeCell ref="A2191:A2192"/>
    <mergeCell ref="A2111:B2111"/>
    <mergeCell ref="A2232:B2232"/>
    <mergeCell ref="A2210:B2210"/>
    <mergeCell ref="A2220:A2221"/>
    <mergeCell ref="A2236:B2236"/>
    <mergeCell ref="A2239:B2239"/>
    <mergeCell ref="A2135:A2136"/>
    <mergeCell ref="A2249:B2249"/>
    <mergeCell ref="A2087:A2088"/>
    <mergeCell ref="A2206:A2209"/>
    <mergeCell ref="B2206:B2209"/>
    <mergeCell ref="A2302:B2302"/>
    <mergeCell ref="A2293:B2293"/>
    <mergeCell ref="A2203:B2203"/>
    <mergeCell ref="A2197:B2197"/>
    <mergeCell ref="A2205:B2205"/>
    <mergeCell ref="B2233:B2235"/>
    <mergeCell ref="B2096:B2097"/>
    <mergeCell ref="A2099:A2103"/>
    <mergeCell ref="A2141:A2142"/>
    <mergeCell ref="A2164:B2164"/>
    <mergeCell ref="A2089:B2089"/>
    <mergeCell ref="A2092:B2092"/>
    <mergeCell ref="B2081:B2082"/>
    <mergeCell ref="B2176:B2177"/>
    <mergeCell ref="A2184:B2184"/>
    <mergeCell ref="A2153:B2153"/>
    <mergeCell ref="B2109:B2110"/>
    <mergeCell ref="A2155:B2155"/>
    <mergeCell ref="A2185:A2186"/>
    <mergeCell ref="B2162:B2163"/>
    <mergeCell ref="B2260:B2262"/>
    <mergeCell ref="B2276:B2279"/>
    <mergeCell ref="A2287:B2287"/>
    <mergeCell ref="B2284:B2286"/>
    <mergeCell ref="A2284:A2286"/>
    <mergeCell ref="B2220:B2221"/>
    <mergeCell ref="A2229:A2231"/>
    <mergeCell ref="B2229:B2231"/>
    <mergeCell ref="A2290:B2290"/>
    <mergeCell ref="A2252:B2252"/>
    <mergeCell ref="B2244:B2245"/>
    <mergeCell ref="B2118:B2120"/>
    <mergeCell ref="A2402:B2402"/>
    <mergeCell ref="A2296:B2296"/>
    <mergeCell ref="A2276:A2279"/>
    <mergeCell ref="A2090:A2091"/>
    <mergeCell ref="B2090:B2091"/>
    <mergeCell ref="A2093:A2094"/>
    <mergeCell ref="B2093:B2094"/>
    <mergeCell ref="A2096:A2097"/>
    <mergeCell ref="B2247:B2248"/>
    <mergeCell ref="B2226:B2227"/>
    <mergeCell ref="A2219:B2219"/>
    <mergeCell ref="A2246:B2246"/>
    <mergeCell ref="B2185:B2186"/>
    <mergeCell ref="A2226:A2227"/>
    <mergeCell ref="A2173:A2174"/>
    <mergeCell ref="A2109:A2110"/>
    <mergeCell ref="A2244:A2245"/>
    <mergeCell ref="B2303:C2303"/>
    <mergeCell ref="B2297:B2301"/>
    <mergeCell ref="A2190:B2190"/>
    <mergeCell ref="B2188:B2189"/>
    <mergeCell ref="A2297:A2301"/>
    <mergeCell ref="B2182:B2183"/>
    <mergeCell ref="B2250:B2251"/>
    <mergeCell ref="A2161:B2161"/>
    <mergeCell ref="B2159:B2160"/>
    <mergeCell ref="A2176:A2177"/>
    <mergeCell ref="A2264:A2265"/>
    <mergeCell ref="A2146:B2146"/>
    <mergeCell ref="B2156:B2157"/>
    <mergeCell ref="A2178:B2178"/>
    <mergeCell ref="B2115:B2116"/>
    <mergeCell ref="A2036:A2037"/>
    <mergeCell ref="A2255:B2255"/>
    <mergeCell ref="B2253:B2254"/>
    <mergeCell ref="A2253:A2254"/>
    <mergeCell ref="A2259:B2259"/>
    <mergeCell ref="A2121:B2121"/>
    <mergeCell ref="A2128:B2128"/>
    <mergeCell ref="A2131:B2131"/>
    <mergeCell ref="B2129:B2130"/>
    <mergeCell ref="A2129:A2130"/>
    <mergeCell ref="A2134:B2134"/>
    <mergeCell ref="B2132:B2133"/>
    <mergeCell ref="A2132:A2133"/>
    <mergeCell ref="A2137:B2137"/>
    <mergeCell ref="B2135:B2136"/>
    <mergeCell ref="B2256:B2258"/>
    <mergeCell ref="A2247:A2248"/>
    <mergeCell ref="A2138:A2139"/>
    <mergeCell ref="A2143:B2143"/>
    <mergeCell ref="B2141:B2142"/>
    <mergeCell ref="B2074:B2076"/>
    <mergeCell ref="A2074:A2076"/>
    <mergeCell ref="A2081:A2082"/>
    <mergeCell ref="A2172:B2172"/>
    <mergeCell ref="A2147:A2149"/>
    <mergeCell ref="A2077:B2077"/>
    <mergeCell ref="A2080:B2080"/>
    <mergeCell ref="A2182:A2183"/>
    <mergeCell ref="A2237:A2238"/>
    <mergeCell ref="B2237:B2238"/>
    <mergeCell ref="A2240:A2242"/>
    <mergeCell ref="B2240:B2242"/>
    <mergeCell ref="A2211:A2215"/>
    <mergeCell ref="B2211:B2215"/>
    <mergeCell ref="A2188:A2189"/>
    <mergeCell ref="A2193:B2193"/>
    <mergeCell ref="A1924:B1924"/>
    <mergeCell ref="B1922:B1923"/>
    <mergeCell ref="A2162:A2163"/>
    <mergeCell ref="A2168:B2168"/>
    <mergeCell ref="A2118:A2120"/>
    <mergeCell ref="A2039:A2040"/>
    <mergeCell ref="A1972:A1973"/>
    <mergeCell ref="A1977:B1977"/>
    <mergeCell ref="B1975:B1976"/>
    <mergeCell ref="A1975:A1976"/>
    <mergeCell ref="B1988:B1990"/>
    <mergeCell ref="A1974:B1974"/>
    <mergeCell ref="A1993:A1996"/>
    <mergeCell ref="A1943:A1945"/>
    <mergeCell ref="B1947:B1949"/>
    <mergeCell ref="A1961:B1961"/>
    <mergeCell ref="B1959:B1960"/>
    <mergeCell ref="A1959:A1960"/>
    <mergeCell ref="A1964:B1964"/>
    <mergeCell ref="B1962:B1963"/>
    <mergeCell ref="A2062:A2063"/>
    <mergeCell ref="B2062:B2063"/>
    <mergeCell ref="A2083:B2083"/>
    <mergeCell ref="B2020:B2021"/>
    <mergeCell ref="B2012:B2018"/>
    <mergeCell ref="A2005:B2005"/>
    <mergeCell ref="A2008:B2008"/>
    <mergeCell ref="B2009:B2010"/>
    <mergeCell ref="A2012:A2018"/>
    <mergeCell ref="A1927:B1927"/>
    <mergeCell ref="A1930:B1930"/>
    <mergeCell ref="B1928:B1929"/>
    <mergeCell ref="A2009:A2010"/>
    <mergeCell ref="A2048:B2048"/>
    <mergeCell ref="A2064:B2064"/>
    <mergeCell ref="A2045:A2047"/>
    <mergeCell ref="B2045:B2047"/>
    <mergeCell ref="A2049:A2051"/>
    <mergeCell ref="A2058:B2058"/>
    <mergeCell ref="A2025:B2025"/>
    <mergeCell ref="A2020:A2021"/>
    <mergeCell ref="A2052:B2052"/>
    <mergeCell ref="B2056:B2057"/>
    <mergeCell ref="B1951:B1953"/>
    <mergeCell ref="B2001:B2004"/>
    <mergeCell ref="A2006:A2007"/>
    <mergeCell ref="A1968:B1968"/>
    <mergeCell ref="A2000:B2000"/>
    <mergeCell ref="B1998:B1999"/>
    <mergeCell ref="A1998:A1999"/>
    <mergeCell ref="A2053:A2054"/>
    <mergeCell ref="A2061:B2061"/>
    <mergeCell ref="A1992:B1992"/>
    <mergeCell ref="B2006:B2007"/>
    <mergeCell ref="A1997:B1997"/>
    <mergeCell ref="A2059:A2060"/>
    <mergeCell ref="A2022:B2022"/>
    <mergeCell ref="A2056:A2057"/>
    <mergeCell ref="B2042:B2043"/>
    <mergeCell ref="B2059:B2060"/>
    <mergeCell ref="B2026:B2028"/>
    <mergeCell ref="A2030:A2032"/>
    <mergeCell ref="B2030:B2032"/>
    <mergeCell ref="B2036:B2037"/>
    <mergeCell ref="A1914:B1914"/>
    <mergeCell ref="A1918:B1918"/>
    <mergeCell ref="B1934:B1935"/>
    <mergeCell ref="A1934:A1935"/>
    <mergeCell ref="A1940:B1940"/>
    <mergeCell ref="A1942:B1942"/>
    <mergeCell ref="A1946:B1946"/>
    <mergeCell ref="A1950:B1950"/>
    <mergeCell ref="A1954:B1954"/>
    <mergeCell ref="A1987:B1987"/>
    <mergeCell ref="B1985:B1986"/>
    <mergeCell ref="A1985:A1986"/>
    <mergeCell ref="A1978:A1980"/>
    <mergeCell ref="A1988:A1990"/>
    <mergeCell ref="A1922:A1923"/>
    <mergeCell ref="A1919:A1920"/>
    <mergeCell ref="A1958:B1958"/>
    <mergeCell ref="B1955:B1957"/>
    <mergeCell ref="A1925:A1926"/>
    <mergeCell ref="A1921:B1921"/>
    <mergeCell ref="B1937:B1939"/>
    <mergeCell ref="B1919:B1920"/>
    <mergeCell ref="A1962:A1963"/>
    <mergeCell ref="A1951:A1953"/>
    <mergeCell ref="A1955:A1957"/>
    <mergeCell ref="B1943:B1945"/>
    <mergeCell ref="A1947:A1949"/>
    <mergeCell ref="A1928:A1929"/>
    <mergeCell ref="A1933:B1933"/>
    <mergeCell ref="B1931:B1932"/>
    <mergeCell ref="A1931:A1932"/>
    <mergeCell ref="A1936:B1936"/>
    <mergeCell ref="A1910:B1910"/>
    <mergeCell ref="B1908:B1909"/>
    <mergeCell ref="A1908:A1909"/>
    <mergeCell ref="A789:A790"/>
    <mergeCell ref="A794:B794"/>
    <mergeCell ref="B792:B793"/>
    <mergeCell ref="A973:A974"/>
    <mergeCell ref="A983:B983"/>
    <mergeCell ref="B996:B1001"/>
    <mergeCell ref="A996:A1001"/>
    <mergeCell ref="B1563:B1564"/>
    <mergeCell ref="A1563:A1564"/>
    <mergeCell ref="A1567:B1567"/>
    <mergeCell ref="A1553:B1553"/>
    <mergeCell ref="A1573:B1573"/>
    <mergeCell ref="B1843:B1844"/>
    <mergeCell ref="A1041:A1042"/>
    <mergeCell ref="A1047:B1047"/>
    <mergeCell ref="A1878:A1879"/>
    <mergeCell ref="B1878:B1879"/>
    <mergeCell ref="A1883:B1883"/>
    <mergeCell ref="A1887:B1887"/>
    <mergeCell ref="A1698:A1701"/>
    <mergeCell ref="A1706:B1706"/>
    <mergeCell ref="B1703:B1705"/>
    <mergeCell ref="B810:B818"/>
    <mergeCell ref="A810:A818"/>
    <mergeCell ref="A797:B797"/>
    <mergeCell ref="A1907:B1907"/>
    <mergeCell ref="A1868:B1868"/>
    <mergeCell ref="B1866:B1867"/>
    <mergeCell ref="A1866:A1867"/>
    <mergeCell ref="B668:B669"/>
    <mergeCell ref="A1004:B1004"/>
    <mergeCell ref="A1880:B1880"/>
    <mergeCell ref="B1168:C1168"/>
    <mergeCell ref="A1830:A1831"/>
    <mergeCell ref="B1830:B1831"/>
    <mergeCell ref="A1869:A1870"/>
    <mergeCell ref="B1869:B1870"/>
    <mergeCell ref="A1875:A1876"/>
    <mergeCell ref="A1842:B1842"/>
    <mergeCell ref="B1840:B1841"/>
    <mergeCell ref="A1840:A1841"/>
    <mergeCell ref="B745:B751"/>
    <mergeCell ref="A745:A751"/>
    <mergeCell ref="A761:A762"/>
    <mergeCell ref="B761:B762"/>
    <mergeCell ref="A686:B686"/>
    <mergeCell ref="A668:A669"/>
    <mergeCell ref="A683:B683"/>
    <mergeCell ref="A767:A768"/>
    <mergeCell ref="B767:B768"/>
    <mergeCell ref="A772:B772"/>
    <mergeCell ref="B770:B771"/>
    <mergeCell ref="A770:A771"/>
    <mergeCell ref="A775:B775"/>
    <mergeCell ref="B773:B774"/>
    <mergeCell ref="A773:A774"/>
    <mergeCell ref="A760:B760"/>
    <mergeCell ref="B328:B331"/>
    <mergeCell ref="A333:A334"/>
    <mergeCell ref="B1911:B1913"/>
    <mergeCell ref="B1925:B1926"/>
    <mergeCell ref="A1881:A1882"/>
    <mergeCell ref="A1900:B1900"/>
    <mergeCell ref="A1903:B1903"/>
    <mergeCell ref="A1854:B1854"/>
    <mergeCell ref="A1858:A1860"/>
    <mergeCell ref="A1837:A1838"/>
    <mergeCell ref="A1892:A1893"/>
    <mergeCell ref="B1852:B1853"/>
    <mergeCell ref="A1852:A1853"/>
    <mergeCell ref="A1849:A1850"/>
    <mergeCell ref="B1849:B1850"/>
    <mergeCell ref="A636:B636"/>
    <mergeCell ref="A613:J613"/>
    <mergeCell ref="I1778:I1785"/>
    <mergeCell ref="A1077:J1077"/>
    <mergeCell ref="A1057:B1057"/>
    <mergeCell ref="B1055:B1056"/>
    <mergeCell ref="A1857:B1857"/>
    <mergeCell ref="B1855:B1856"/>
    <mergeCell ref="A1855:A1856"/>
    <mergeCell ref="A1861:B1861"/>
    <mergeCell ref="B1858:B1860"/>
    <mergeCell ref="A1865:B1865"/>
    <mergeCell ref="B1862:B1864"/>
    <mergeCell ref="A1862:A1864"/>
    <mergeCell ref="A1871:B1871"/>
    <mergeCell ref="A1874:B1874"/>
    <mergeCell ref="A1877:B1877"/>
    <mergeCell ref="A327:J327"/>
    <mergeCell ref="A276:B276"/>
    <mergeCell ref="H1267:H1269"/>
    <mergeCell ref="H429:H430"/>
    <mergeCell ref="A274:A275"/>
    <mergeCell ref="A568:A570"/>
    <mergeCell ref="A583:J583"/>
    <mergeCell ref="A575:B575"/>
    <mergeCell ref="A245:B245"/>
    <mergeCell ref="A243:A244"/>
    <mergeCell ref="F147:F150"/>
    <mergeCell ref="A277:A278"/>
    <mergeCell ref="B277:B278"/>
    <mergeCell ref="A271:B271"/>
    <mergeCell ref="A269:A270"/>
    <mergeCell ref="B269:B270"/>
    <mergeCell ref="A273:B273"/>
    <mergeCell ref="A288:B288"/>
    <mergeCell ref="A339:B339"/>
    <mergeCell ref="B397:B398"/>
    <mergeCell ref="A389:B389"/>
    <mergeCell ref="A417:A418"/>
    <mergeCell ref="E577:E581"/>
    <mergeCell ref="F577:F581"/>
    <mergeCell ref="B351:B352"/>
    <mergeCell ref="A393:A395"/>
    <mergeCell ref="A347:B347"/>
    <mergeCell ref="A343:A346"/>
    <mergeCell ref="B343:B346"/>
    <mergeCell ref="A263:A264"/>
    <mergeCell ref="B263:B264"/>
    <mergeCell ref="F233:F236"/>
    <mergeCell ref="E698:E701"/>
    <mergeCell ref="A658:B658"/>
    <mergeCell ref="E498:E499"/>
    <mergeCell ref="B249:B250"/>
    <mergeCell ref="A241:B241"/>
    <mergeCell ref="F698:F701"/>
    <mergeCell ref="F1290:F1292"/>
    <mergeCell ref="A419:B419"/>
    <mergeCell ref="B274:B275"/>
    <mergeCell ref="A204:B204"/>
    <mergeCell ref="A202:A203"/>
    <mergeCell ref="B202:B203"/>
    <mergeCell ref="A292:A293"/>
    <mergeCell ref="B617:B618"/>
    <mergeCell ref="B483:B484"/>
    <mergeCell ref="B495:B496"/>
    <mergeCell ref="A495:A496"/>
    <mergeCell ref="A641:A642"/>
    <mergeCell ref="A647:B647"/>
    <mergeCell ref="F336:F337"/>
    <mergeCell ref="B243:B244"/>
    <mergeCell ref="A289:A290"/>
    <mergeCell ref="B289:B290"/>
    <mergeCell ref="A282:B282"/>
    <mergeCell ref="A280:A281"/>
    <mergeCell ref="B280:B281"/>
    <mergeCell ref="A285:B285"/>
    <mergeCell ref="B446:B447"/>
    <mergeCell ref="E464:E465"/>
    <mergeCell ref="E491:E492"/>
    <mergeCell ref="A497:B497"/>
    <mergeCell ref="B354:B356"/>
    <mergeCell ref="B623:B624"/>
    <mergeCell ref="A623:A624"/>
    <mergeCell ref="A470:A474"/>
    <mergeCell ref="A630:B630"/>
    <mergeCell ref="B626:B629"/>
    <mergeCell ref="B374:B375"/>
    <mergeCell ref="A5:J5"/>
    <mergeCell ref="A146:J146"/>
    <mergeCell ref="E1328:E1331"/>
    <mergeCell ref="E1490:E1492"/>
    <mergeCell ref="E92:E95"/>
    <mergeCell ref="A408:B408"/>
    <mergeCell ref="A403:A407"/>
    <mergeCell ref="A371:B371"/>
    <mergeCell ref="A369:A370"/>
    <mergeCell ref="B369:B370"/>
    <mergeCell ref="A373:B373"/>
    <mergeCell ref="A363:B363"/>
    <mergeCell ref="A360:A362"/>
    <mergeCell ref="B360:B362"/>
    <mergeCell ref="A368:B368"/>
    <mergeCell ref="A1002:B1002"/>
    <mergeCell ref="E6:E9"/>
    <mergeCell ref="B414:B415"/>
    <mergeCell ref="F6:F9"/>
    <mergeCell ref="F92:F95"/>
    <mergeCell ref="A452:B452"/>
    <mergeCell ref="A377:A378"/>
    <mergeCell ref="A291:B291"/>
    <mergeCell ref="B543:B548"/>
    <mergeCell ref="A1055:A1056"/>
    <mergeCell ref="B634:B635"/>
    <mergeCell ref="H928:H929"/>
    <mergeCell ref="E1290:E1292"/>
    <mergeCell ref="A605:B605"/>
    <mergeCell ref="A626:A629"/>
    <mergeCell ref="A594:A596"/>
    <mergeCell ref="A607:A611"/>
    <mergeCell ref="F976:F981"/>
    <mergeCell ref="A1032:A1033"/>
    <mergeCell ref="F1006:F1012"/>
    <mergeCell ref="B1044:B1046"/>
    <mergeCell ref="A696:B696"/>
    <mergeCell ref="B694:B695"/>
    <mergeCell ref="A694:A695"/>
    <mergeCell ref="B644:B646"/>
    <mergeCell ref="A644:A646"/>
    <mergeCell ref="A777:B777"/>
    <mergeCell ref="B789:B790"/>
    <mergeCell ref="A744:B744"/>
    <mergeCell ref="B737:B743"/>
    <mergeCell ref="A731:B731"/>
    <mergeCell ref="F1267:F1269"/>
    <mergeCell ref="E1006:E1012"/>
    <mergeCell ref="A631:A632"/>
    <mergeCell ref="A622:B622"/>
    <mergeCell ref="B620:B621"/>
    <mergeCell ref="A648:A649"/>
    <mergeCell ref="A633:B633"/>
    <mergeCell ref="B631:B632"/>
    <mergeCell ref="A640:B640"/>
    <mergeCell ref="B637:B639"/>
    <mergeCell ref="A664:B664"/>
    <mergeCell ref="B800:B808"/>
    <mergeCell ref="A294:B294"/>
    <mergeCell ref="B283:B284"/>
    <mergeCell ref="E328:E330"/>
    <mergeCell ref="E336:E337"/>
    <mergeCell ref="E317:E325"/>
    <mergeCell ref="A332:B332"/>
    <mergeCell ref="A328:A331"/>
    <mergeCell ref="A286:A287"/>
    <mergeCell ref="B286:B287"/>
    <mergeCell ref="A279:B279"/>
    <mergeCell ref="F343:F345"/>
    <mergeCell ref="E343:E345"/>
    <mergeCell ref="E360:E361"/>
    <mergeCell ref="A678:B678"/>
    <mergeCell ref="A603:B603"/>
    <mergeCell ref="F360:F361"/>
    <mergeCell ref="A653:B653"/>
    <mergeCell ref="A655:B655"/>
    <mergeCell ref="B417:B418"/>
    <mergeCell ref="A376:B376"/>
    <mergeCell ref="A374:A375"/>
    <mergeCell ref="A379:B379"/>
    <mergeCell ref="A661:B661"/>
    <mergeCell ref="B659:B660"/>
    <mergeCell ref="A659:A660"/>
    <mergeCell ref="B651:B652"/>
    <mergeCell ref="B614:B615"/>
    <mergeCell ref="A614:A615"/>
    <mergeCell ref="A619:B619"/>
    <mergeCell ref="A335:B335"/>
    <mergeCell ref="A504:B504"/>
    <mergeCell ref="B502:B503"/>
    <mergeCell ref="F464:F465"/>
    <mergeCell ref="F491:F492"/>
    <mergeCell ref="F498:F499"/>
    <mergeCell ref="A359:B359"/>
    <mergeCell ref="A350:B350"/>
    <mergeCell ref="A348:A349"/>
    <mergeCell ref="B348:B349"/>
    <mergeCell ref="A353:B353"/>
    <mergeCell ref="A351:A352"/>
    <mergeCell ref="A656:A657"/>
    <mergeCell ref="A643:B643"/>
    <mergeCell ref="B641:B642"/>
    <mergeCell ref="A651:A652"/>
    <mergeCell ref="B656:B657"/>
    <mergeCell ref="B377:B378"/>
    <mergeCell ref="A390:A391"/>
    <mergeCell ref="A397:A398"/>
    <mergeCell ref="B476:B477"/>
    <mergeCell ref="A476:A477"/>
    <mergeCell ref="A634:A635"/>
    <mergeCell ref="A456:B456"/>
    <mergeCell ref="A463:B463"/>
    <mergeCell ref="A469:B469"/>
    <mergeCell ref="B464:B468"/>
    <mergeCell ref="A448:B448"/>
    <mergeCell ref="A535:B535"/>
    <mergeCell ref="B529:B534"/>
    <mergeCell ref="A529:A534"/>
    <mergeCell ref="A616:B616"/>
    <mergeCell ref="A528:B528"/>
    <mergeCell ref="B522:B527"/>
    <mergeCell ref="B470:B474"/>
    <mergeCell ref="H20:H23"/>
    <mergeCell ref="I20:I23"/>
    <mergeCell ref="I317:I325"/>
    <mergeCell ref="E53:E55"/>
    <mergeCell ref="E60:E63"/>
    <mergeCell ref="F53:F55"/>
    <mergeCell ref="I360:I361"/>
    <mergeCell ref="H498:H499"/>
    <mergeCell ref="F223:F230"/>
    <mergeCell ref="E223:E230"/>
    <mergeCell ref="H360:H361"/>
    <mergeCell ref="A283:A284"/>
    <mergeCell ref="B336:B338"/>
    <mergeCell ref="A336:A338"/>
    <mergeCell ref="B443:B444"/>
    <mergeCell ref="B440:B441"/>
    <mergeCell ref="A440:A441"/>
    <mergeCell ref="A478:B478"/>
    <mergeCell ref="A458:B458"/>
    <mergeCell ref="A461:B461"/>
    <mergeCell ref="A315:B315"/>
    <mergeCell ref="A309:A314"/>
    <mergeCell ref="B309:B314"/>
    <mergeCell ref="A326:B326"/>
    <mergeCell ref="A302:B302"/>
    <mergeCell ref="A308:B308"/>
    <mergeCell ref="A303:A307"/>
    <mergeCell ref="B303:B307"/>
    <mergeCell ref="B333:B334"/>
    <mergeCell ref="B292:B293"/>
    <mergeCell ref="A297:B297"/>
    <mergeCell ref="A295:A296"/>
    <mergeCell ref="F60:F63"/>
    <mergeCell ref="F86:F89"/>
    <mergeCell ref="E80:E83"/>
    <mergeCell ref="E174:E175"/>
    <mergeCell ref="E429:E430"/>
    <mergeCell ref="F174:F175"/>
    <mergeCell ref="F135:F144"/>
    <mergeCell ref="F328:F330"/>
    <mergeCell ref="F317:F325"/>
    <mergeCell ref="E2383:E2401"/>
    <mergeCell ref="F2383:F2401"/>
    <mergeCell ref="I2383:I2401"/>
    <mergeCell ref="I2366:I2382"/>
    <mergeCell ref="I2323:I2357"/>
    <mergeCell ref="A521:J521"/>
    <mergeCell ref="E15:E17"/>
    <mergeCell ref="F15:F17"/>
    <mergeCell ref="E20:E23"/>
    <mergeCell ref="F20:F23"/>
    <mergeCell ref="E104:E107"/>
    <mergeCell ref="F104:F107"/>
    <mergeCell ref="E116:E119"/>
    <mergeCell ref="F116:F119"/>
    <mergeCell ref="E110:E113"/>
    <mergeCell ref="F110:F113"/>
    <mergeCell ref="E122:E125"/>
    <mergeCell ref="F122:F125"/>
    <mergeCell ref="E128:E131"/>
    <mergeCell ref="F128:F131"/>
    <mergeCell ref="E509:E519"/>
    <mergeCell ref="F509:F519"/>
    <mergeCell ref="E135:E144"/>
    <mergeCell ref="I2358:I2365"/>
    <mergeCell ref="I92:I95"/>
    <mergeCell ref="I122:I125"/>
    <mergeCell ref="I128:I131"/>
    <mergeCell ref="H903:H914"/>
    <mergeCell ref="I903:I914"/>
    <mergeCell ref="I1006:I1012"/>
    <mergeCell ref="I80:I83"/>
    <mergeCell ref="I86:I89"/>
    <mergeCell ref="I1267:I1269"/>
    <mergeCell ref="H1508:H1511"/>
    <mergeCell ref="H1501:H1504"/>
    <mergeCell ref="H2358:H2365"/>
    <mergeCell ref="H328:H330"/>
    <mergeCell ref="H1328:H1331"/>
    <mergeCell ref="H343:H345"/>
    <mergeCell ref="A357:B357"/>
    <mergeCell ref="A354:A356"/>
    <mergeCell ref="F80:F83"/>
    <mergeCell ref="E86:E89"/>
    <mergeCell ref="B295:B296"/>
    <mergeCell ref="A426:A427"/>
    <mergeCell ref="A428:B428"/>
    <mergeCell ref="A364:A367"/>
    <mergeCell ref="B364:B367"/>
    <mergeCell ref="A383:B383"/>
    <mergeCell ref="A380:A382"/>
    <mergeCell ref="B380:B382"/>
    <mergeCell ref="A300:B300"/>
    <mergeCell ref="A298:A299"/>
    <mergeCell ref="B298:B299"/>
    <mergeCell ref="F429:F430"/>
  </mergeCells>
  <pageMargins left="0.23622047244094491" right="0.23622047244094491" top="0.74803149606299213" bottom="0.74803149606299213" header="0.31496062992125984" footer="0.31496062992125984"/>
  <pageSetup paperSize="9" scale="70" fitToWidth="0" fitToHeight="0" orientation="landscape" r:id="rId2"/>
  <rowBreaks count="3" manualBreakCount="3">
    <brk id="1853" max="12" man="1"/>
    <brk id="1883" max="12" man="1"/>
    <brk id="19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МКД</vt:lpstr>
      <vt:lpstr>МКД!Заголовки_для_печати</vt:lpstr>
      <vt:lpstr>МКД!Область_печати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p.loskutov</dc:creator>
  <cp:lastModifiedBy>Чистяков Сергей Алексеевич</cp:lastModifiedBy>
  <cp:lastPrinted>2017-02-10T04:15:16Z</cp:lastPrinted>
  <dcterms:created xsi:type="dcterms:W3CDTF">2015-05-22T00:32:59Z</dcterms:created>
  <dcterms:modified xsi:type="dcterms:W3CDTF">2017-08-09T01:44:20Z</dcterms:modified>
</cp:coreProperties>
</file>